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235" windowHeight="8445" activeTab="0"/>
  </bookViews>
  <sheets>
    <sheet name="srednie" sheetId="1" r:id="rId1"/>
    <sheet name="DIETY" sheetId="2" r:id="rId2"/>
    <sheet name="delegacja zagraniczna - verum" sheetId="3" r:id="rId3"/>
    <sheet name="WZÓR FV ZAKUP" sheetId="4" state="hidden" r:id="rId4"/>
    <sheet name="STRONA 2" sheetId="5" state="hidden" r:id="rId5"/>
    <sheet name="Excelblog.pl - Kwoty słownie" sheetId="6" state="hidden" r:id="rId6"/>
  </sheets>
  <definedNames>
    <definedName name="_xlnm._FilterDatabase" localSheetId="3" hidden="1">'WZÓR FV ZAKUP'!$BK$7:$BK$14</definedName>
    <definedName name="Archiwum_Tab_A_2012" localSheetId="0">'srednie'!$A$1:$AO$2</definedName>
    <definedName name="Archiwum_Tab_A_2013" localSheetId="0">'srednie'!$A$553:$AM$554</definedName>
    <definedName name="Archiwum_Tab_A_2014" localSheetId="0">'srednie'!$A$572:$AL$573</definedName>
    <definedName name="excelblog_Dziesiatki" localSheetId="5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5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5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2">'delegacja zagraniczna - verum'!$B$2:$L$110</definedName>
    <definedName name="_xlnm.Print_Area" localSheetId="4">'STRONA 2'!$A$1:$L$67</definedName>
    <definedName name="_xlnm.Print_Area" localSheetId="3">'WZÓR FV ZAKUP'!$A$1:$BJ$14</definedName>
    <definedName name="slownie">'Excelblog.pl - Kwoty słownie'!$B$8</definedName>
  </definedNames>
  <calcPr fullCalcOnLoad="1" fullPrecision="0"/>
</workbook>
</file>

<file path=xl/sharedStrings.xml><?xml version="1.0" encoding="utf-8"?>
<sst xmlns="http://schemas.openxmlformats.org/spreadsheetml/2006/main" count="1342" uniqueCount="454">
  <si>
    <t>z dnia</t>
  </si>
  <si>
    <t>dla</t>
  </si>
  <si>
    <t>do</t>
  </si>
  <si>
    <t>na czas od</t>
  </si>
  <si>
    <t>w celu</t>
  </si>
  <si>
    <t>Proszę o wypłacenie zaliczki w kwocie:</t>
  </si>
  <si>
    <t>słownie:</t>
  </si>
  <si>
    <t>(podpis delegowanego)*</t>
  </si>
  <si>
    <t>Zatwierdzono na:</t>
  </si>
  <si>
    <t>na pokrycie wydatków zgodnie z poleceniem wyjazdu służbowego nr</t>
  </si>
  <si>
    <t>(data)</t>
  </si>
  <si>
    <t>(podpis)</t>
  </si>
  <si>
    <t xml:space="preserve">WYJAZD </t>
  </si>
  <si>
    <t>miejscowość</t>
  </si>
  <si>
    <t>data</t>
  </si>
  <si>
    <t>godz.</t>
  </si>
  <si>
    <t>PRZYJAZD</t>
  </si>
  <si>
    <t>ŚRODEK LOKOMOCJI</t>
  </si>
  <si>
    <t>KOSZT PRZEJAZDU</t>
  </si>
  <si>
    <t>Rachunek sprawdzono pod względem formalnym i rachunkowym.</t>
  </si>
  <si>
    <t>Ryczałt za dojazdy</t>
  </si>
  <si>
    <t>Razem przejazdy dojazdy</t>
  </si>
  <si>
    <t>Zatwierdzono na</t>
  </si>
  <si>
    <t>Diety</t>
  </si>
  <si>
    <t>Noclegi wg rachunków</t>
  </si>
  <si>
    <t>Noclegi - ryczałt</t>
  </si>
  <si>
    <t>Inne wydatki wg załączników</t>
  </si>
  <si>
    <t>do wypłaty z sum</t>
  </si>
  <si>
    <t>Ogółem</t>
  </si>
  <si>
    <t>(słownie)</t>
  </si>
  <si>
    <t xml:space="preserve">Kwituję odbiór </t>
  </si>
  <si>
    <t>Zaliczkę na kwotę</t>
  </si>
  <si>
    <t>slownie</t>
  </si>
  <si>
    <t>(Imię i nazwisko delegowanego)</t>
  </si>
  <si>
    <t>(podpis delegowanego)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</si>
  <si>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</si>
  <si>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</si>
  <si>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</si>
  <si>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</si>
  <si>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</si>
  <si>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</si>
  <si>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</si>
  <si>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</si>
  <si>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</si>
  <si>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</si>
  <si>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</si>
  <si>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</si>
  <si>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</si>
  <si>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</si>
  <si>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>Pobrano zaliczkę</t>
  </si>
  <si>
    <t>do wypłaty - zwrotu</t>
  </si>
  <si>
    <t>Załączam dowodów</t>
  </si>
  <si>
    <t>Wrocław</t>
  </si>
  <si>
    <t>Wartość diety:</t>
  </si>
  <si>
    <t>Czy przysługuję ryczałt za dojazdy?</t>
  </si>
  <si>
    <t>Czy są rachunki za noclegi?</t>
  </si>
  <si>
    <t>Czy przysługuje całodzienne wyżywienie?</t>
  </si>
  <si>
    <t>TAK</t>
  </si>
  <si>
    <t>NIE</t>
  </si>
  <si>
    <t>MENU DELEGACJI:</t>
  </si>
  <si>
    <t>mieszy 8 godzin a 12</t>
  </si>
  <si>
    <t>powyżej 12</t>
  </si>
  <si>
    <t xml:space="preserve">suma dla jednego dnia </t>
  </si>
  <si>
    <t>do 8 godzin</t>
  </si>
  <si>
    <t>ponad 8 godzin</t>
  </si>
  <si>
    <t>suma diet dla wielu dni</t>
  </si>
  <si>
    <t>DIETY:</t>
  </si>
  <si>
    <t>Ryczałt za dojazdy:</t>
  </si>
  <si>
    <t>SILNIKA</t>
  </si>
  <si>
    <t>MARKA I MODEL</t>
  </si>
  <si>
    <t>LP</t>
  </si>
  <si>
    <t>ILOŚĆ</t>
  </si>
  <si>
    <t>KM</t>
  </si>
  <si>
    <t>STAWKA</t>
  </si>
  <si>
    <t>ZA KM</t>
  </si>
  <si>
    <t xml:space="preserve">otrzymałem i zobowiązuje się rozliczyć z niej w terminie 7 dni po zakończeniu podróży upoważniając równocześnie zakład pracy do potrącenia  kwoty     </t>
  </si>
  <si>
    <t xml:space="preserve">nie rozliczonej zaliczki z najbliższej wypaty wynagrodzenia.                                                                                                                                                        </t>
  </si>
  <si>
    <r>
      <t>SAMOCH. DO 900 cm</t>
    </r>
    <r>
      <rPr>
        <vertAlign val="superscript"/>
        <sz val="14"/>
        <rFont val="Arial"/>
        <family val="2"/>
      </rPr>
      <t>3</t>
    </r>
  </si>
  <si>
    <t>SAMOCH. POWŻEJ 900 cm3</t>
  </si>
  <si>
    <t xml:space="preserve">MOTOCYKL </t>
  </si>
  <si>
    <t>MOTOROWER</t>
  </si>
  <si>
    <t>wyjazdy</t>
  </si>
  <si>
    <t>przyjazdy</t>
  </si>
  <si>
    <t>pociąg</t>
  </si>
  <si>
    <t>WŁAŚCICIEL</t>
  </si>
  <si>
    <t>Poznań</t>
  </si>
  <si>
    <t xml:space="preserve">Poznań </t>
  </si>
  <si>
    <t>07-02-2011</t>
  </si>
  <si>
    <t>POJEMNOŚĆ SILNIKA</t>
  </si>
  <si>
    <t>nr</t>
  </si>
  <si>
    <t>Środki lokomocji:</t>
  </si>
  <si>
    <t>Rachunek sprawdzono pod względem formalnym i rachunkowym oraz zatwierdzono.</t>
  </si>
  <si>
    <t>Niniejszym rachunek przedkładam</t>
  </si>
  <si>
    <t>PRACOWNIK</t>
  </si>
  <si>
    <t>(stanowisko służb.):</t>
  </si>
  <si>
    <t>Czy zapewniono całodzienne wyżywienie?</t>
  </si>
  <si>
    <t>data wyjazdu</t>
  </si>
  <si>
    <t>data przyjazdu</t>
  </si>
  <si>
    <t>najstarsza data</t>
  </si>
  <si>
    <t>ostatnia podana - wyjazd</t>
  </si>
  <si>
    <t>ostatnia podana - powrót</t>
  </si>
  <si>
    <t>WYNIK</t>
  </si>
  <si>
    <t>PIERWSZA DOBA</t>
  </si>
  <si>
    <t>KOLEJNA DOBA</t>
  </si>
  <si>
    <t>DZIAŁANIE:</t>
  </si>
  <si>
    <t>POWRÓT</t>
  </si>
  <si>
    <t>zaokrąglenia w górę</t>
  </si>
  <si>
    <t>DIETY RAZEM:</t>
  </si>
  <si>
    <t>Czy przysługuje ryczałt za dojazdy?</t>
  </si>
  <si>
    <t>Kwota netto do księgowania:</t>
  </si>
  <si>
    <t>DELEGACJA ZAGRANICZNA:</t>
  </si>
  <si>
    <t>Kwituję odbiór w walucie obcej</t>
  </si>
  <si>
    <t>Kwituję odbiór w PLN</t>
  </si>
  <si>
    <t>słownie w PLN:</t>
  </si>
  <si>
    <t>WALUTA OBCA</t>
  </si>
  <si>
    <t>PLN</t>
  </si>
  <si>
    <t>(słownie w PLN)</t>
  </si>
  <si>
    <t>do kraju docelowego:</t>
  </si>
  <si>
    <t>Państwo</t>
  </si>
  <si>
    <t>Waluta</t>
  </si>
  <si>
    <t>Kwota diety</t>
  </si>
  <si>
    <t>Kwota limitu na nocleg</t>
  </si>
  <si>
    <t>Afganistan</t>
  </si>
  <si>
    <t>USD</t>
  </si>
  <si>
    <t>Albania</t>
  </si>
  <si>
    <t>EUR</t>
  </si>
  <si>
    <t>Algieria</t>
  </si>
  <si>
    <t>Andora</t>
  </si>
  <si>
    <t>Angola</t>
  </si>
  <si>
    <t>Arabia Saudyjska</t>
  </si>
  <si>
    <t>Argentyna</t>
  </si>
  <si>
    <t>Armenia</t>
  </si>
  <si>
    <t>Australia</t>
  </si>
  <si>
    <t>AUD</t>
  </si>
  <si>
    <t>Austria</t>
  </si>
  <si>
    <t>Azerbejdżan</t>
  </si>
  <si>
    <t>Bangladesz</t>
  </si>
  <si>
    <t>Belgia</t>
  </si>
  <si>
    <t>Białoruś</t>
  </si>
  <si>
    <t>Bośnia i Hercegowina</t>
  </si>
  <si>
    <t>Brazylia</t>
  </si>
  <si>
    <t>Bułgaria</t>
  </si>
  <si>
    <t>Chile</t>
  </si>
  <si>
    <t>Chiny</t>
  </si>
  <si>
    <t>Chorwacja</t>
  </si>
  <si>
    <t>Cypr</t>
  </si>
  <si>
    <t>Czechy</t>
  </si>
  <si>
    <t>Dania</t>
  </si>
  <si>
    <t>DKK</t>
  </si>
  <si>
    <t>Egipt</t>
  </si>
  <si>
    <t>Ekwador</t>
  </si>
  <si>
    <t>Estonia</t>
  </si>
  <si>
    <t>Etiopia</t>
  </si>
  <si>
    <t>Finlandia</t>
  </si>
  <si>
    <t>Francja</t>
  </si>
  <si>
    <t>Gibraltar</t>
  </si>
  <si>
    <t>GBP</t>
  </si>
  <si>
    <t>Grecja</t>
  </si>
  <si>
    <t>Gruzja</t>
  </si>
  <si>
    <t>Hiszpania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</si>
  <si>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</si>
  <si>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</si>
  <si>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</si>
  <si>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</si>
  <si>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</si>
  <si>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</si>
  <si>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</si>
  <si>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</si>
  <si>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Japonia</t>
  </si>
  <si>
    <t>JPY</t>
  </si>
  <si>
    <t>Jemen</t>
  </si>
  <si>
    <t>Jordania</t>
  </si>
  <si>
    <t>Kambodża</t>
  </si>
  <si>
    <t>Kanada</t>
  </si>
  <si>
    <t>CAD</t>
  </si>
  <si>
    <t>Kazachstan</t>
  </si>
  <si>
    <t>Kenia</t>
  </si>
  <si>
    <t>Kirgistan</t>
  </si>
  <si>
    <t>Kolumbia</t>
  </si>
  <si>
    <t>Kongo, Demokratyczna Republika Konga</t>
  </si>
  <si>
    <t>Korea Południowa</t>
  </si>
  <si>
    <t>Koreańska Republika Ludowo-Demokratyczna</t>
  </si>
  <si>
    <t>Kostaryka</t>
  </si>
  <si>
    <t>Kuba</t>
  </si>
  <si>
    <t>Kuwejt</t>
  </si>
  <si>
    <t>Laos</t>
  </si>
  <si>
    <t>Liban</t>
  </si>
  <si>
    <t>Libia</t>
  </si>
  <si>
    <t>Liechtenstein</t>
  </si>
  <si>
    <t>CHF</t>
  </si>
  <si>
    <t>Litwa</t>
  </si>
  <si>
    <t>Luksemburg</t>
  </si>
  <si>
    <t>Łotwa</t>
  </si>
  <si>
    <t>Macedonia</t>
  </si>
  <si>
    <t>Malezja</t>
  </si>
  <si>
    <t>Malta</t>
  </si>
  <si>
    <t>Maroko</t>
  </si>
  <si>
    <t>Meksyk</t>
  </si>
  <si>
    <t>Mołdowa</t>
  </si>
  <si>
    <t>Monako</t>
  </si>
  <si>
    <t>Mongolia</t>
  </si>
  <si>
    <t>Niderlandy</t>
  </si>
  <si>
    <t>Niemcy</t>
  </si>
  <si>
    <t>Nigeria</t>
  </si>
  <si>
    <t>Norwegia</t>
  </si>
  <si>
    <t>NOK</t>
  </si>
  <si>
    <t>Nowa Zelandia</t>
  </si>
  <si>
    <t>Pakistan</t>
  </si>
  <si>
    <t>Panama</t>
  </si>
  <si>
    <t>Peru</t>
  </si>
  <si>
    <t>Portugalia</t>
  </si>
  <si>
    <t>Republika Południowej Afryki</t>
  </si>
  <si>
    <t>Rosja</t>
  </si>
  <si>
    <t>Rumunia</t>
  </si>
  <si>
    <t>San Marino</t>
  </si>
  <si>
    <t>Senegal</t>
  </si>
  <si>
    <t>Serbia i Czarnogóra</t>
  </si>
  <si>
    <t>Singapur</t>
  </si>
  <si>
    <t>Słowacja</t>
  </si>
  <si>
    <t>Słowenia</t>
  </si>
  <si>
    <t>Syria</t>
  </si>
  <si>
    <t>Szwajcaria</t>
  </si>
  <si>
    <t>Szwecja</t>
  </si>
  <si>
    <t>SEK</t>
  </si>
  <si>
    <t>Tadżykistan</t>
  </si>
  <si>
    <t>Tajlandia</t>
  </si>
  <si>
    <t>Tajwan</t>
  </si>
  <si>
    <t>Tanzania</t>
  </si>
  <si>
    <t>Tunezja</t>
  </si>
  <si>
    <t>Turcja</t>
  </si>
  <si>
    <t>Turkmenistan</t>
  </si>
  <si>
    <t>Ukraina</t>
  </si>
  <si>
    <t>Urugwaj</t>
  </si>
  <si>
    <t>Uzbekistan</t>
  </si>
  <si>
    <t>Wenezuela</t>
  </si>
  <si>
    <t>Węgry</t>
  </si>
  <si>
    <t>Wielka Brytania</t>
  </si>
  <si>
    <t>Wietnam</t>
  </si>
  <si>
    <t>Włochy</t>
  </si>
  <si>
    <t>Wybrzeże Kości Słoniowej</t>
  </si>
  <si>
    <t>Zimbabwe</t>
  </si>
  <si>
    <t>Zjednoczone Emiraty Arabskie</t>
  </si>
  <si>
    <t>http://www.money.pl/podatki/informator/diety/diety_z/</t>
  </si>
  <si>
    <t>THB</t>
  </si>
  <si>
    <t>HKD</t>
  </si>
  <si>
    <t>NZD</t>
  </si>
  <si>
    <t>SGD</t>
  </si>
  <si>
    <t>HUF</t>
  </si>
  <si>
    <t>UAH</t>
  </si>
  <si>
    <t>CZK</t>
  </si>
  <si>
    <t>EEK</t>
  </si>
  <si>
    <t>ISK</t>
  </si>
  <si>
    <t>SKK</t>
  </si>
  <si>
    <t>HRK</t>
  </si>
  <si>
    <t>RON</t>
  </si>
  <si>
    <t>BGN</t>
  </si>
  <si>
    <t>TRY</t>
  </si>
  <si>
    <t>LTL</t>
  </si>
  <si>
    <t>LVL</t>
  </si>
  <si>
    <t>PHP</t>
  </si>
  <si>
    <t>MXN</t>
  </si>
  <si>
    <t>ZAR</t>
  </si>
  <si>
    <t>BRL</t>
  </si>
  <si>
    <t>MYR</t>
  </si>
  <si>
    <t>RUB</t>
  </si>
  <si>
    <t>IDR</t>
  </si>
  <si>
    <t>KRW</t>
  </si>
  <si>
    <t>CNY</t>
  </si>
  <si>
    <t>XDR</t>
  </si>
  <si>
    <t>NR TAB</t>
  </si>
  <si>
    <t>bat (Tajlandia)</t>
  </si>
  <si>
    <t>dolar amerykański</t>
  </si>
  <si>
    <t>dolar australijski</t>
  </si>
  <si>
    <t>dolar Hongkongu</t>
  </si>
  <si>
    <t>dolar kanadyjski</t>
  </si>
  <si>
    <t>dolar nowozelandzki</t>
  </si>
  <si>
    <t>dolar singapurski</t>
  </si>
  <si>
    <t>euro</t>
  </si>
  <si>
    <t>forint (Węgry)</t>
  </si>
  <si>
    <t>frank szwajcarski</t>
  </si>
  <si>
    <t>funt szterling</t>
  </si>
  <si>
    <t>hrywna (Ukraina)</t>
  </si>
  <si>
    <t>jen (Japonia)</t>
  </si>
  <si>
    <t>korona czeska</t>
  </si>
  <si>
    <t>korona duńska</t>
  </si>
  <si>
    <t>korona estońska</t>
  </si>
  <si>
    <t>korona islandzka</t>
  </si>
  <si>
    <t>korona norweska</t>
  </si>
  <si>
    <t>korona słowacka</t>
  </si>
  <si>
    <t>korona szwedzka</t>
  </si>
  <si>
    <t>kuna chorwacka</t>
  </si>
  <si>
    <t>lej rumuński</t>
  </si>
  <si>
    <t>lew bułgarski</t>
  </si>
  <si>
    <t>lira turecka</t>
  </si>
  <si>
    <t>lit litewski</t>
  </si>
  <si>
    <t>łat łotewski</t>
  </si>
  <si>
    <t>peso filipińskie</t>
  </si>
  <si>
    <t>peso meksykańskie</t>
  </si>
  <si>
    <t>rand (RPA)</t>
  </si>
  <si>
    <t>real brazylijski</t>
  </si>
  <si>
    <t>ringgit malezyjski</t>
  </si>
  <si>
    <t>rubel rosyjski</t>
  </si>
  <si>
    <t>rupia (Indonezja)</t>
  </si>
  <si>
    <t>won (Korea Płd.)</t>
  </si>
  <si>
    <t>yuan renminbi(Chiny)</t>
  </si>
  <si>
    <t>SDR (MFW)</t>
  </si>
  <si>
    <t>1 THB</t>
  </si>
  <si>
    <t>1 USD</t>
  </si>
  <si>
    <t>1 AUD</t>
  </si>
  <si>
    <t>1 HKD</t>
  </si>
  <si>
    <t>1 CAD</t>
  </si>
  <si>
    <t>1 NZD</t>
  </si>
  <si>
    <t>1 SGD</t>
  </si>
  <si>
    <t>1 EUR</t>
  </si>
  <si>
    <t>100 HUF</t>
  </si>
  <si>
    <t>1 CHF</t>
  </si>
  <si>
    <t>1 GBP</t>
  </si>
  <si>
    <t>1 UAH</t>
  </si>
  <si>
    <t>100 JPY</t>
  </si>
  <si>
    <t>1 CZK</t>
  </si>
  <si>
    <t>1 DKK</t>
  </si>
  <si>
    <t>100 ISK</t>
  </si>
  <si>
    <t>1 NOK</t>
  </si>
  <si>
    <t>1 SEK</t>
  </si>
  <si>
    <t>1 HRK</t>
  </si>
  <si>
    <t>1 RON</t>
  </si>
  <si>
    <t>1 BGN</t>
  </si>
  <si>
    <t>1 TRY</t>
  </si>
  <si>
    <t>1 LTL</t>
  </si>
  <si>
    <t>1 LVL</t>
  </si>
  <si>
    <t>1 PHP</t>
  </si>
  <si>
    <t>1 MXN</t>
  </si>
  <si>
    <t>1 ZAR</t>
  </si>
  <si>
    <t>1 BRL</t>
  </si>
  <si>
    <t>1 MYR</t>
  </si>
  <si>
    <t>1 RUB</t>
  </si>
  <si>
    <t>10000 IDR</t>
  </si>
  <si>
    <t>100 KRW</t>
  </si>
  <si>
    <t>1 CNY</t>
  </si>
  <si>
    <t>1 XDR</t>
  </si>
  <si>
    <t>Nr tabeli</t>
  </si>
  <si>
    <t>śniadanie</t>
  </si>
  <si>
    <t>obiad</t>
  </si>
  <si>
    <t>kolacja</t>
  </si>
  <si>
    <t>inne</t>
  </si>
  <si>
    <t>Otrzym. zaliczkę w walucie obcej</t>
  </si>
  <si>
    <t>Otrzym. zaliczkę w PLN</t>
  </si>
  <si>
    <t>Diety - KRAJOWA</t>
  </si>
  <si>
    <t>Diety - ZAGRANICZNA</t>
  </si>
  <si>
    <t>PRZEJAZDY RAZEM:</t>
  </si>
  <si>
    <t>KRAJOWE</t>
  </si>
  <si>
    <t>ZAGRANICZNE</t>
  </si>
  <si>
    <t>w tym:</t>
  </si>
  <si>
    <t>NOCLEGI RAZEM:</t>
  </si>
  <si>
    <t>w tym NOCLEGI WG RACHUNKÓW:</t>
  </si>
  <si>
    <t>w tym RYCZAŁT ZA NOCLEGI:</t>
  </si>
  <si>
    <t>INNE WYDATKI RAZEM:</t>
  </si>
  <si>
    <t>KRAJ</t>
  </si>
  <si>
    <t>ZAGRANICA</t>
  </si>
  <si>
    <t>NR REJESTR.                 ŚRODEK LOKOMOCJI</t>
  </si>
  <si>
    <t>RODZAJ</t>
  </si>
  <si>
    <t>SAMOCHODU</t>
  </si>
  <si>
    <t>SŁUŻBOWY</t>
  </si>
  <si>
    <t>PRYWATNY</t>
  </si>
  <si>
    <t>RYCZAŁT DOJAZD Z DWORCA (ZAGRANICA)</t>
  </si>
  <si>
    <t>RÓŻNICE KURSOWE - FAKTURY ZAKUPU DO FIRMY:</t>
  </si>
  <si>
    <t>ZA OKRES:</t>
  </si>
  <si>
    <t>MARZEC</t>
  </si>
  <si>
    <t>kursy NBP</t>
  </si>
  <si>
    <t>kursy banku</t>
  </si>
  <si>
    <t>FAKTURA:</t>
  </si>
  <si>
    <t>ZAPŁATA:</t>
  </si>
  <si>
    <t>RÓŻNICE KURSOWE:</t>
  </si>
  <si>
    <t>NUMER</t>
  </si>
  <si>
    <t>DATA</t>
  </si>
  <si>
    <t>WALUTA</t>
  </si>
  <si>
    <t>KWOTA W WALUCIE OBCEJ</t>
  </si>
  <si>
    <t>KURS</t>
  </si>
  <si>
    <t>TABELA</t>
  </si>
  <si>
    <t>UKRYJ/ODKRYJ WIERSZE</t>
  </si>
  <si>
    <t>MNIEJSZA</t>
  </si>
  <si>
    <t>WIEKSZA</t>
  </si>
  <si>
    <t>DOLNA</t>
  </si>
  <si>
    <t>GÓRNA</t>
  </si>
  <si>
    <t>W OKRESIE 1, POZA 0</t>
  </si>
  <si>
    <t>nr tabeli</t>
  </si>
  <si>
    <t>rodzaj tabeli</t>
  </si>
  <si>
    <t>UKRYJ WIERSZE</t>
  </si>
  <si>
    <t>STYCZEŃ</t>
  </si>
  <si>
    <t>LUTY</t>
  </si>
  <si>
    <t>KWIECIEŃ</t>
  </si>
  <si>
    <t>MAJ</t>
  </si>
  <si>
    <t>CZERWIEC</t>
  </si>
  <si>
    <r>
      <t xml:space="preserve">KWOTA W PLN </t>
    </r>
    <r>
      <rPr>
        <i/>
        <sz val="9"/>
        <color indexed="8"/>
        <rFont val="Arial"/>
        <family val="2"/>
      </rPr>
      <t>(POZ. 4 * POZ. 5)</t>
    </r>
  </si>
  <si>
    <r>
      <t xml:space="preserve">KWOTA W PLN </t>
    </r>
    <r>
      <rPr>
        <i/>
        <sz val="9"/>
        <color indexed="8"/>
        <rFont val="Arial"/>
        <family val="2"/>
      </rPr>
      <t>(POZ. 9 * POZ. 10)</t>
    </r>
  </si>
  <si>
    <r>
      <t xml:space="preserve">DODATNIE  </t>
    </r>
    <r>
      <rPr>
        <sz val="10"/>
        <rFont val="Arial"/>
        <family val="2"/>
      </rPr>
      <t xml:space="preserve"> (</t>
    </r>
    <r>
      <rPr>
        <i/>
        <sz val="9"/>
        <rFont val="Arial"/>
        <family val="2"/>
      </rPr>
      <t>POZ. 7 &lt; POZ. 12)</t>
    </r>
  </si>
  <si>
    <r>
      <t xml:space="preserve">UJEMNE      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</t>
    </r>
    <r>
      <rPr>
        <i/>
        <sz val="9"/>
        <rFont val="Arial"/>
        <family val="2"/>
      </rPr>
      <t>POZ. 7 &gt; POZ. 12)</t>
    </r>
  </si>
  <si>
    <t>wg tabeli NBP:</t>
  </si>
  <si>
    <t>Kurs waluty</t>
  </si>
  <si>
    <t>data wyjazdu zagranicznego</t>
  </si>
  <si>
    <t>data powrotu zagranicznego</t>
  </si>
  <si>
    <t>ZAGRANICZNA DIETA:</t>
  </si>
  <si>
    <t>przejazdy kraj</t>
  </si>
  <si>
    <t>RYCZAŁ ZA PRZEJAZDY:</t>
  </si>
  <si>
    <t>w tym komunikacją miejską:</t>
  </si>
  <si>
    <t>dieta</t>
  </si>
  <si>
    <t>limit</t>
  </si>
  <si>
    <t>Liczba noclegów - ryczałt</t>
  </si>
  <si>
    <t>OGÓŁEM:</t>
  </si>
  <si>
    <t>liczba rozpoczętych dni</t>
  </si>
  <si>
    <t>Liczba ryczałtów koszt  dojazdu z i do dworca</t>
  </si>
  <si>
    <t>/A/NBP/2011</t>
  </si>
  <si>
    <t xml:space="preserve">POCIAG </t>
  </si>
  <si>
    <t>/A/NBP/2012</t>
  </si>
  <si>
    <t>Data</t>
  </si>
  <si>
    <t>peso filipinskie</t>
  </si>
  <si>
    <t>won (Korea Południowa)</t>
  </si>
  <si>
    <t>yuan renminbi (Chiny)</t>
  </si>
  <si>
    <t>Katar</t>
  </si>
  <si>
    <t>Oman</t>
  </si>
  <si>
    <t>palestyńska Władza Narodowa</t>
  </si>
  <si>
    <t>Stany Zjednoczone Ameryki (USA) - Nowy Jork</t>
  </si>
  <si>
    <t>Stany Zjednoczone Ameryki (USA) - poza Nowym Jorkiem i Waszyngtonem</t>
  </si>
  <si>
    <t>Stany Zjednoczone Ameryki (USA) - Waszyngton</t>
  </si>
  <si>
    <t>~ pozostałe ~</t>
  </si>
  <si>
    <t>Pełny numer tabeli</t>
  </si>
  <si>
    <t>/A/NBP/2013</t>
  </si>
  <si>
    <t>1 ILS</t>
  </si>
  <si>
    <t>100 CLP</t>
  </si>
  <si>
    <t>100 INR</t>
  </si>
  <si>
    <t>nowy  izraelski szekel</t>
  </si>
  <si>
    <t>peso  chilijskie</t>
  </si>
  <si>
    <t>rupia  indyjska</t>
  </si>
  <si>
    <t>023/A/NBP/2013</t>
  </si>
  <si>
    <t>024/A/NBP/2013</t>
  </si>
  <si>
    <t>025/A/NBP/2013</t>
  </si>
  <si>
    <t>026/A/NBP/2013</t>
  </si>
  <si>
    <t>027/A/NBP/2013</t>
  </si>
  <si>
    <t>028/A/NBP/2013</t>
  </si>
  <si>
    <t>029/A/NBP/2013</t>
  </si>
  <si>
    <t>030/A/NBP/2013</t>
  </si>
  <si>
    <t>031/A/NBP/2013</t>
  </si>
  <si>
    <t>032/A/NBP/2013</t>
  </si>
  <si>
    <t>033/A/NBP/2013</t>
  </si>
  <si>
    <t>034/A/NBP/2013</t>
  </si>
  <si>
    <t>035/A/NBP/2013</t>
  </si>
  <si>
    <t>036/A/NBP/2013</t>
  </si>
  <si>
    <t>037/A/NBP/2013</t>
  </si>
  <si>
    <t>038/A/NBP/2013</t>
  </si>
  <si>
    <t>039/A/NBP/2013</t>
  </si>
  <si>
    <t>040/A/NBP/2013</t>
  </si>
  <si>
    <t>041/A/NBP/2013</t>
  </si>
  <si>
    <t>042/A/NBP/2013</t>
  </si>
  <si>
    <t>EURO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</si>
</sst>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"/>
    <numFmt numFmtId="165" formatCode="\ h:mm"/>
    <numFmt numFmtId="166" formatCode="h:mm"/>
    <numFmt numFmtId="167" formatCode="#&quot; &quot;??/16"/>
    <numFmt numFmtId="168" formatCode="#,##0.00\ &quot;zł&quot;"/>
    <numFmt numFmtId="169" formatCode="d/m/yyyy;@"/>
    <numFmt numFmtId="170" formatCode="0.000"/>
    <numFmt numFmtId="171" formatCode="0.000000000000000000000000000000"/>
    <numFmt numFmtId="172" formatCode="0.0000"/>
    <numFmt numFmtId="173" formatCode="[h]:mm"/>
    <numFmt numFmtId="174" formatCode="yyyy/mm/dd\ h:mm"/>
    <numFmt numFmtId="175" formatCode="yyyy/mm/dd\ h:mm:ss"/>
    <numFmt numFmtId="176" formatCode="yyyy/mm/dd\ hh:mm:ss"/>
    <numFmt numFmtId="177" formatCode="#,##0.000000000000000000000000000000"/>
    <numFmt numFmtId="178" formatCode="#,##0.0000000000000"/>
    <numFmt numFmtId="179" formatCode="0.000000000000000"/>
    <numFmt numFmtId="180" formatCode="#,##0.000000000000000"/>
    <numFmt numFmtId="181" formatCode="mmmm\-yy"/>
    <numFmt numFmtId="182" formatCode="#,##0.0000"/>
    <numFmt numFmtId="183" formatCode="yyyy/mm/dd;@"/>
    <numFmt numFmtId="184" formatCode="[$-415]d\ mmmm\ yyyy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</numFmts>
  <fonts count="6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i/>
      <u val="single"/>
      <sz val="14"/>
      <name val="Arial"/>
      <family val="2"/>
    </font>
    <font>
      <vertAlign val="superscript"/>
      <sz val="14"/>
      <name val="Arial"/>
      <family val="2"/>
    </font>
    <font>
      <sz val="12"/>
      <name val="Times New Roman"/>
      <family val="1"/>
    </font>
    <font>
      <i/>
      <u val="single"/>
      <sz val="30"/>
      <color indexed="10"/>
      <name val="Arial"/>
      <family val="2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22"/>
      <name val="Arial"/>
      <family val="2"/>
    </font>
    <font>
      <b/>
      <i/>
      <u val="single"/>
      <sz val="23"/>
      <color indexed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4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9"/>
      <name val="Arial"/>
      <family val="2"/>
    </font>
    <font>
      <sz val="12"/>
      <color indexed="9"/>
      <name val="Arial"/>
      <family val="2"/>
    </font>
    <font>
      <sz val="8"/>
      <name val="Tahoma"/>
      <family val="2"/>
    </font>
    <font>
      <sz val="10"/>
      <color rgb="FFFF000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i/>
      <sz val="12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/>
      <bottom/>
    </border>
    <border>
      <left/>
      <right/>
      <top/>
      <bottom style="medium"/>
    </border>
    <border>
      <left/>
      <right/>
      <top/>
      <bottom style="dotted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dotted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dotted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dotted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dotted"/>
    </border>
    <border>
      <left style="thin"/>
      <right/>
      <top/>
      <bottom style="dotted"/>
    </border>
    <border>
      <left style="thin"/>
      <right/>
      <top style="dotted"/>
      <bottom style="thin"/>
    </border>
    <border>
      <left style="thin"/>
      <right style="thin"/>
      <top style="thin"/>
      <bottom style="dotted"/>
    </border>
    <border diagonalUp="1" diagonalDown="1">
      <left style="thin"/>
      <right style="thin"/>
      <top style="dotted"/>
      <bottom style="dotted"/>
      <diagonal style="thin"/>
    </border>
    <border>
      <left style="thin"/>
      <right style="medium"/>
      <top style="thin"/>
      <bottom/>
    </border>
    <border>
      <left style="thin"/>
      <right style="thin"/>
      <top style="double"/>
      <bottom style="double"/>
    </border>
    <border diagonalUp="1" diagonalDown="1">
      <left style="thin"/>
      <right style="thin"/>
      <top style="double"/>
      <bottom style="double"/>
      <diagonal style="thin"/>
    </border>
    <border diagonalUp="1" diagonalDown="1">
      <left style="thin"/>
      <right/>
      <top style="double"/>
      <bottom style="double"/>
      <diagonal style="thin"/>
    </border>
    <border>
      <left style="thin"/>
      <right style="medium"/>
      <top style="double"/>
      <bottom style="double"/>
    </border>
    <border diagonalUp="1" diagonalDown="1">
      <left/>
      <right style="thin"/>
      <top style="double"/>
      <bottom style="double"/>
      <diagonal style="thin"/>
    </border>
    <border>
      <left style="thin"/>
      <right style="double"/>
      <top style="double"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 diagonalUp="1" diagonalDown="1">
      <left style="thin"/>
      <right style="thin"/>
      <top/>
      <bottom style="double"/>
      <diagonal style="thin"/>
    </border>
    <border diagonalUp="1" diagonalDown="1">
      <left style="thin"/>
      <right/>
      <top/>
      <bottom style="double"/>
      <diagonal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ck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double"/>
      <right style="thin"/>
      <top style="double"/>
      <bottom style="double"/>
    </border>
    <border>
      <left style="thin"/>
      <right style="medium"/>
      <top/>
      <bottom/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/>
      <top style="thin"/>
      <bottom/>
    </border>
    <border diagonalUp="1" diagonalDown="1">
      <left/>
      <right style="thin"/>
      <top/>
      <bottom style="double"/>
      <diagonal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0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73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1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24" borderId="0" xfId="0" applyFont="1" applyFill="1" applyAlignment="1" applyProtection="1">
      <alignment vertical="center"/>
      <protection/>
    </xf>
    <xf numFmtId="0" fontId="0" fillId="24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3" borderId="0" xfId="0" applyFill="1" applyAlignment="1" applyProtection="1">
      <alignment/>
      <protection/>
    </xf>
    <xf numFmtId="0" fontId="8" fillId="23" borderId="0" xfId="0" applyFont="1" applyFill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4" fontId="0" fillId="25" borderId="18" xfId="0" applyNumberFormat="1" applyFill="1" applyBorder="1" applyAlignment="1" applyProtection="1">
      <alignment/>
      <protection locked="0"/>
    </xf>
    <xf numFmtId="4" fontId="0" fillId="23" borderId="0" xfId="0" applyNumberFormat="1" applyFill="1" applyAlignment="1" applyProtection="1">
      <alignment/>
      <protection/>
    </xf>
    <xf numFmtId="4" fontId="8" fillId="23" borderId="0" xfId="0" applyNumberFormat="1" applyFont="1" applyFill="1" applyAlignment="1" applyProtection="1">
      <alignment horizontal="center"/>
      <protection/>
    </xf>
    <xf numFmtId="0" fontId="8" fillId="23" borderId="0" xfId="0" applyFont="1" applyFill="1" applyBorder="1" applyAlignment="1" applyProtection="1">
      <alignment horizontal="center"/>
      <protection/>
    </xf>
    <xf numFmtId="167" fontId="0" fillId="23" borderId="0" xfId="0" applyNumberFormat="1" applyFill="1" applyAlignment="1" applyProtection="1">
      <alignment horizontal="center"/>
      <protection/>
    </xf>
    <xf numFmtId="0" fontId="0" fillId="23" borderId="0" xfId="0" applyFill="1" applyBorder="1" applyAlignment="1" applyProtection="1">
      <alignment horizontal="center"/>
      <protection/>
    </xf>
    <xf numFmtId="0" fontId="2" fillId="23" borderId="0" xfId="0" applyFont="1" applyFill="1" applyAlignment="1" applyProtection="1">
      <alignment/>
      <protection/>
    </xf>
    <xf numFmtId="0" fontId="2" fillId="23" borderId="0" xfId="0" applyFont="1" applyFill="1" applyBorder="1" applyAlignment="1" applyProtection="1">
      <alignment/>
      <protection/>
    </xf>
    <xf numFmtId="0" fontId="0" fillId="25" borderId="23" xfId="0" applyFill="1" applyBorder="1" applyAlignment="1" applyProtection="1">
      <alignment/>
      <protection locked="0"/>
    </xf>
    <xf numFmtId="0" fontId="0" fillId="25" borderId="24" xfId="0" applyFill="1" applyBorder="1" applyAlignment="1" applyProtection="1">
      <alignment/>
      <protection locked="0"/>
    </xf>
    <xf numFmtId="0" fontId="0" fillId="25" borderId="25" xfId="0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9" fillId="24" borderId="0" xfId="44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7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3" borderId="0" xfId="0" applyFill="1" applyAlignment="1" applyProtection="1">
      <alignment/>
      <protection locked="0"/>
    </xf>
    <xf numFmtId="0" fontId="8" fillId="23" borderId="0" xfId="0" applyFont="1" applyFill="1" applyAlignment="1" applyProtection="1">
      <alignment/>
      <protection locked="0"/>
    </xf>
    <xf numFmtId="0" fontId="0" fillId="23" borderId="0" xfId="0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" fontId="0" fillId="23" borderId="0" xfId="0" applyNumberFormat="1" applyFill="1" applyAlignment="1" applyProtection="1">
      <alignment/>
      <protection locked="0"/>
    </xf>
    <xf numFmtId="4" fontId="8" fillId="23" borderId="0" xfId="0" applyNumberFormat="1" applyFont="1" applyFill="1" applyAlignment="1" applyProtection="1">
      <alignment horizontal="center"/>
      <protection locked="0"/>
    </xf>
    <xf numFmtId="0" fontId="8" fillId="23" borderId="0" xfId="0" applyFont="1" applyFill="1" applyBorder="1" applyAlignment="1" applyProtection="1">
      <alignment horizontal="center"/>
      <protection locked="0"/>
    </xf>
    <xf numFmtId="167" fontId="0" fillId="23" borderId="0" xfId="0" applyNumberFormat="1" applyFill="1" applyAlignment="1" applyProtection="1">
      <alignment horizontal="center"/>
      <protection locked="0"/>
    </xf>
    <xf numFmtId="0" fontId="0" fillId="23" borderId="0" xfId="0" applyFill="1" applyBorder="1" applyAlignment="1" applyProtection="1">
      <alignment horizontal="center"/>
      <protection locked="0"/>
    </xf>
    <xf numFmtId="0" fontId="2" fillId="23" borderId="0" xfId="0" applyFont="1" applyFill="1" applyAlignment="1" applyProtection="1">
      <alignment/>
      <protection locked="0"/>
    </xf>
    <xf numFmtId="0" fontId="2" fillId="23" borderId="0" xfId="0" applyFont="1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 vertical="center"/>
      <protection locked="0"/>
    </xf>
    <xf numFmtId="0" fontId="0" fillId="24" borderId="0" xfId="0" applyFont="1" applyFill="1" applyBorder="1" applyAlignment="1" applyProtection="1">
      <alignment vertical="center"/>
      <protection locked="0"/>
    </xf>
    <xf numFmtId="0" fontId="9" fillId="24" borderId="0" xfId="44" applyFont="1" applyFill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68" fontId="10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11" fillId="0" borderId="12" xfId="0" applyFont="1" applyBorder="1" applyAlignment="1">
      <alignment horizontal="center"/>
    </xf>
    <xf numFmtId="169" fontId="11" fillId="0" borderId="26" xfId="0" applyNumberFormat="1" applyFont="1" applyBorder="1" applyAlignment="1">
      <alignment horizontal="center"/>
    </xf>
    <xf numFmtId="168" fontId="10" fillId="0" borderId="12" xfId="0" applyNumberFormat="1" applyFont="1" applyBorder="1" applyAlignment="1">
      <alignment/>
    </xf>
    <xf numFmtId="168" fontId="0" fillId="0" borderId="12" xfId="0" applyNumberFormat="1" applyBorder="1" applyAlignment="1">
      <alignment/>
    </xf>
    <xf numFmtId="0" fontId="4" fillId="0" borderId="22" xfId="0" applyFont="1" applyBorder="1" applyAlignment="1">
      <alignment horizontal="center"/>
    </xf>
    <xf numFmtId="166" fontId="0" fillId="0" borderId="0" xfId="0" applyNumberForma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8" fontId="4" fillId="0" borderId="27" xfId="0" applyNumberFormat="1" applyFont="1" applyBorder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18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1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4" fillId="0" borderId="23" xfId="0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/>
    </xf>
    <xf numFmtId="171" fontId="8" fillId="0" borderId="18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20" fontId="4" fillId="0" borderId="18" xfId="0" applyNumberFormat="1" applyFont="1" applyBorder="1" applyAlignment="1">
      <alignment/>
    </xf>
    <xf numFmtId="20" fontId="4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4" fontId="1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37" xfId="0" applyFont="1" applyBorder="1" applyAlignment="1">
      <alignment vertical="center"/>
    </xf>
    <xf numFmtId="0" fontId="4" fillId="0" borderId="1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0" fillId="17" borderId="19" xfId="0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0" xfId="0" applyFill="1" applyBorder="1" applyAlignment="1">
      <alignment/>
    </xf>
    <xf numFmtId="0" fontId="4" fillId="17" borderId="15" xfId="0" applyFont="1" applyFill="1" applyBorder="1" applyAlignment="1">
      <alignment/>
    </xf>
    <xf numFmtId="168" fontId="11" fillId="17" borderId="12" xfId="0" applyNumberFormat="1" applyFont="1" applyFill="1" applyBorder="1" applyAlignment="1">
      <alignment/>
    </xf>
    <xf numFmtId="0" fontId="0" fillId="17" borderId="10" xfId="0" applyFill="1" applyBorder="1" applyAlignment="1">
      <alignment/>
    </xf>
    <xf numFmtId="0" fontId="4" fillId="17" borderId="15" xfId="0" applyFont="1" applyFill="1" applyBorder="1" applyAlignment="1">
      <alignment horizontal="center"/>
    </xf>
    <xf numFmtId="0" fontId="0" fillId="17" borderId="15" xfId="0" applyFill="1" applyBorder="1" applyAlignment="1">
      <alignment/>
    </xf>
    <xf numFmtId="169" fontId="11" fillId="17" borderId="26" xfId="0" applyNumberFormat="1" applyFont="1" applyFill="1" applyBorder="1" applyAlignment="1">
      <alignment horizontal="center"/>
    </xf>
    <xf numFmtId="0" fontId="11" fillId="17" borderId="12" xfId="0" applyFont="1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20" xfId="0" applyFill="1" applyBorder="1" applyAlignment="1">
      <alignment/>
    </xf>
    <xf numFmtId="0" fontId="0" fillId="17" borderId="11" xfId="0" applyFill="1" applyBorder="1" applyAlignment="1">
      <alignment/>
    </xf>
    <xf numFmtId="168" fontId="10" fillId="0" borderId="0" xfId="0" applyNumberFormat="1" applyFont="1" applyBorder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168" fontId="10" fillId="17" borderId="38" xfId="0" applyNumberFormat="1" applyFont="1" applyFill="1" applyBorder="1" applyAlignment="1">
      <alignment vertical="center"/>
    </xf>
    <xf numFmtId="168" fontId="10" fillId="17" borderId="17" xfId="0" applyNumberFormat="1" applyFont="1" applyFill="1" applyBorder="1" applyAlignment="1">
      <alignment vertical="center"/>
    </xf>
    <xf numFmtId="168" fontId="10" fillId="17" borderId="39" xfId="0" applyNumberFormat="1" applyFont="1" applyFill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36" xfId="0" applyFont="1" applyBorder="1" applyAlignment="1">
      <alignment vertical="top" wrapText="1"/>
    </xf>
    <xf numFmtId="0" fontId="5" fillId="0" borderId="44" xfId="0" applyFont="1" applyBorder="1" applyAlignment="1">
      <alignment vertical="top" wrapText="1"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7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8" fontId="10" fillId="0" borderId="38" xfId="0" applyNumberFormat="1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8" fontId="10" fillId="0" borderId="17" xfId="0" applyNumberFormat="1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68" fontId="10" fillId="0" borderId="39" xfId="0" applyNumberFormat="1" applyFont="1" applyBorder="1" applyAlignment="1">
      <alignment/>
    </xf>
    <xf numFmtId="0" fontId="11" fillId="17" borderId="1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2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4" fillId="0" borderId="3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12" xfId="0" applyFont="1" applyBorder="1" applyAlignment="1">
      <alignment/>
    </xf>
    <xf numFmtId="0" fontId="4" fillId="0" borderId="39" xfId="0" applyFont="1" applyBorder="1" applyAlignment="1">
      <alignment vertical="center"/>
    </xf>
    <xf numFmtId="0" fontId="4" fillId="17" borderId="19" xfId="0" applyFont="1" applyFill="1" applyBorder="1" applyAlignment="1">
      <alignment vertical="center"/>
    </xf>
    <xf numFmtId="0" fontId="4" fillId="17" borderId="13" xfId="0" applyFont="1" applyFill="1" applyBorder="1" applyAlignment="1">
      <alignment vertical="center"/>
    </xf>
    <xf numFmtId="0" fontId="4" fillId="17" borderId="14" xfId="0" applyFont="1" applyFill="1" applyBorder="1" applyAlignment="1">
      <alignment vertical="center"/>
    </xf>
    <xf numFmtId="0" fontId="4" fillId="17" borderId="15" xfId="0" applyFont="1" applyFill="1" applyBorder="1" applyAlignment="1">
      <alignment vertical="center"/>
    </xf>
    <xf numFmtId="0" fontId="4" fillId="17" borderId="0" xfId="0" applyFont="1" applyFill="1" applyBorder="1" applyAlignment="1">
      <alignment vertical="center"/>
    </xf>
    <xf numFmtId="0" fontId="4" fillId="17" borderId="10" xfId="0" applyFont="1" applyFill="1" applyBorder="1" applyAlignment="1">
      <alignment vertical="center"/>
    </xf>
    <xf numFmtId="0" fontId="4" fillId="17" borderId="20" xfId="0" applyFont="1" applyFill="1" applyBorder="1" applyAlignment="1">
      <alignment vertical="center"/>
    </xf>
    <xf numFmtId="0" fontId="4" fillId="17" borderId="11" xfId="0" applyFont="1" applyFill="1" applyBorder="1" applyAlignment="1">
      <alignment vertical="center"/>
    </xf>
    <xf numFmtId="0" fontId="4" fillId="17" borderId="21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44" fontId="4" fillId="0" borderId="10" xfId="59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4" fillId="0" borderId="18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52" xfId="0" applyFont="1" applyBorder="1" applyAlignment="1">
      <alignment/>
    </xf>
    <xf numFmtId="0" fontId="17" fillId="0" borderId="0" xfId="0" applyFont="1" applyBorder="1" applyAlignment="1">
      <alignment/>
    </xf>
    <xf numFmtId="0" fontId="11" fillId="26" borderId="12" xfId="0" applyFont="1" applyFill="1" applyBorder="1" applyAlignment="1" applyProtection="1">
      <alignment horizontal="center"/>
      <protection locked="0"/>
    </xf>
    <xf numFmtId="169" fontId="11" fillId="26" borderId="26" xfId="0" applyNumberFormat="1" applyFont="1" applyFill="1" applyBorder="1" applyAlignment="1" applyProtection="1">
      <alignment horizontal="center"/>
      <protection locked="0"/>
    </xf>
    <xf numFmtId="0" fontId="4" fillId="26" borderId="22" xfId="0" applyFont="1" applyFill="1" applyBorder="1" applyAlignment="1" applyProtection="1">
      <alignment horizontal="center"/>
      <protection locked="0"/>
    </xf>
    <xf numFmtId="14" fontId="4" fillId="26" borderId="18" xfId="0" applyNumberFormat="1" applyFont="1" applyFill="1" applyBorder="1" applyAlignment="1" applyProtection="1">
      <alignment horizontal="center"/>
      <protection locked="0"/>
    </xf>
    <xf numFmtId="4" fontId="4" fillId="26" borderId="23" xfId="0" applyNumberFormat="1" applyFont="1" applyFill="1" applyBorder="1" applyAlignment="1" applyProtection="1">
      <alignment horizontal="right"/>
      <protection locked="0"/>
    </xf>
    <xf numFmtId="4" fontId="4" fillId="26" borderId="46" xfId="0" applyNumberFormat="1" applyFont="1" applyFill="1" applyBorder="1" applyAlignment="1" applyProtection="1">
      <alignment horizontal="right"/>
      <protection locked="0"/>
    </xf>
    <xf numFmtId="0" fontId="4" fillId="26" borderId="12" xfId="0" applyFont="1" applyFill="1" applyBorder="1" applyAlignment="1" applyProtection="1">
      <alignment horizontal="center"/>
      <protection locked="0"/>
    </xf>
    <xf numFmtId="0" fontId="4" fillId="26" borderId="33" xfId="0" applyFont="1" applyFill="1" applyBorder="1" applyAlignment="1" applyProtection="1">
      <alignment/>
      <protection locked="0"/>
    </xf>
    <xf numFmtId="0" fontId="4" fillId="26" borderId="33" xfId="0" applyFont="1" applyFill="1" applyBorder="1" applyAlignment="1" applyProtection="1">
      <alignment horizontal="center"/>
      <protection locked="0"/>
    </xf>
    <xf numFmtId="0" fontId="4" fillId="26" borderId="34" xfId="0" applyFont="1" applyFill="1" applyBorder="1" applyAlignment="1" applyProtection="1">
      <alignment/>
      <protection locked="0"/>
    </xf>
    <xf numFmtId="0" fontId="4" fillId="26" borderId="34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176" fontId="4" fillId="26" borderId="1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17" fillId="25" borderId="0" xfId="0" applyFont="1" applyFill="1" applyBorder="1" applyAlignment="1" applyProtection="1">
      <alignment/>
      <protection/>
    </xf>
    <xf numFmtId="0" fontId="4" fillId="26" borderId="18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5" fillId="0" borderId="53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4" fillId="25" borderId="0" xfId="0" applyFont="1" applyFill="1" applyBorder="1" applyAlignment="1" applyProtection="1">
      <alignment horizontal="center"/>
      <protection/>
    </xf>
    <xf numFmtId="168" fontId="0" fillId="26" borderId="12" xfId="0" applyNumberFormat="1" applyFill="1" applyBorder="1" applyAlignment="1" applyProtection="1">
      <alignment horizontal="center"/>
      <protection locked="0"/>
    </xf>
    <xf numFmtId="168" fontId="0" fillId="26" borderId="54" xfId="0" applyNumberForma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25" borderId="0" xfId="0" applyFont="1" applyFill="1" applyBorder="1" applyAlignment="1" applyProtection="1">
      <alignment/>
      <protection/>
    </xf>
    <xf numFmtId="168" fontId="3" fillId="26" borderId="12" xfId="0" applyNumberFormat="1" applyFont="1" applyFill="1" applyBorder="1" applyAlignment="1" applyProtection="1">
      <alignment horizontal="center"/>
      <protection locked="0"/>
    </xf>
    <xf numFmtId="0" fontId="4" fillId="26" borderId="55" xfId="0" applyFont="1" applyFill="1" applyBorder="1" applyAlignment="1" applyProtection="1">
      <alignment horizontal="center"/>
      <protection locked="0"/>
    </xf>
    <xf numFmtId="14" fontId="4" fillId="26" borderId="56" xfId="0" applyNumberFormat="1" applyFont="1" applyFill="1" applyBorder="1" applyAlignment="1" applyProtection="1">
      <alignment horizontal="center"/>
      <protection locked="0"/>
    </xf>
    <xf numFmtId="176" fontId="4" fillId="26" borderId="56" xfId="0" applyNumberFormat="1" applyFont="1" applyFill="1" applyBorder="1" applyAlignment="1" applyProtection="1">
      <alignment horizontal="center"/>
      <protection locked="0"/>
    </xf>
    <xf numFmtId="0" fontId="4" fillId="26" borderId="56" xfId="0" applyFont="1" applyFill="1" applyBorder="1" applyAlignment="1" applyProtection="1">
      <alignment horizontal="center"/>
      <protection locked="0"/>
    </xf>
    <xf numFmtId="0" fontId="4" fillId="0" borderId="46" xfId="0" applyFont="1" applyBorder="1" applyAlignment="1">
      <alignment horizontal="right"/>
    </xf>
    <xf numFmtId="168" fontId="4" fillId="0" borderId="57" xfId="0" applyNumberFormat="1" applyFont="1" applyBorder="1" applyAlignment="1">
      <alignment/>
    </xf>
    <xf numFmtId="0" fontId="4" fillId="25" borderId="10" xfId="0" applyFont="1" applyFill="1" applyBorder="1" applyAlignment="1" applyProtection="1">
      <alignment/>
      <protection/>
    </xf>
    <xf numFmtId="0" fontId="4" fillId="25" borderId="11" xfId="0" applyFont="1" applyFill="1" applyBorder="1" applyAlignment="1" applyProtection="1">
      <alignment/>
      <protection/>
    </xf>
    <xf numFmtId="0" fontId="4" fillId="25" borderId="21" xfId="0" applyFont="1" applyFill="1" applyBorder="1" applyAlignment="1" applyProtection="1">
      <alignment/>
      <protection/>
    </xf>
    <xf numFmtId="0" fontId="4" fillId="25" borderId="12" xfId="0" applyFont="1" applyFill="1" applyBorder="1" applyAlignment="1" applyProtection="1">
      <alignment/>
      <protection/>
    </xf>
    <xf numFmtId="0" fontId="0" fillId="0" borderId="58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29" xfId="0" applyBorder="1" applyAlignment="1">
      <alignment/>
    </xf>
    <xf numFmtId="0" fontId="8" fillId="0" borderId="59" xfId="0" applyFont="1" applyFill="1" applyBorder="1" applyAlignment="1">
      <alignment horizontal="center" wrapText="1"/>
    </xf>
    <xf numFmtId="0" fontId="8" fillId="0" borderId="60" xfId="0" applyFont="1" applyFill="1" applyBorder="1" applyAlignment="1">
      <alignment horizontal="center" wrapText="1"/>
    </xf>
    <xf numFmtId="181" fontId="24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81" fontId="24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2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13" xfId="0" applyFill="1" applyBorder="1" applyAlignment="1">
      <alignment/>
    </xf>
    <xf numFmtId="0" fontId="4" fillId="25" borderId="15" xfId="0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4" fontId="4" fillId="0" borderId="0" xfId="59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vertical="center"/>
    </xf>
    <xf numFmtId="168" fontId="28" fillId="0" borderId="0" xfId="0" applyNumberFormat="1" applyFont="1" applyFill="1" applyBorder="1" applyAlignment="1">
      <alignment/>
    </xf>
    <xf numFmtId="168" fontId="26" fillId="0" borderId="0" xfId="0" applyNumberFormat="1" applyFont="1" applyFill="1" applyBorder="1" applyAlignment="1">
      <alignment/>
    </xf>
    <xf numFmtId="168" fontId="26" fillId="0" borderId="0" xfId="0" applyNumberFormat="1" applyFont="1" applyFill="1" applyBorder="1" applyAlignment="1">
      <alignment vertical="center"/>
    </xf>
    <xf numFmtId="168" fontId="26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26" borderId="63" xfId="0" applyFont="1" applyFill="1" applyBorder="1" applyAlignment="1" applyProtection="1">
      <alignment horizontal="center"/>
      <protection locked="0"/>
    </xf>
    <xf numFmtId="0" fontId="4" fillId="26" borderId="64" xfId="0" applyFont="1" applyFill="1" applyBorder="1" applyAlignment="1" applyProtection="1">
      <alignment horizontal="center"/>
      <protection locked="0"/>
    </xf>
    <xf numFmtId="0" fontId="4" fillId="26" borderId="65" xfId="0" applyFont="1" applyFill="1" applyBorder="1" applyAlignment="1" applyProtection="1">
      <alignment horizontal="center"/>
      <protection locked="0"/>
    </xf>
    <xf numFmtId="0" fontId="4" fillId="26" borderId="66" xfId="0" applyFont="1" applyFill="1" applyBorder="1" applyAlignment="1" applyProtection="1">
      <alignment horizontal="center"/>
      <protection locked="0"/>
    </xf>
    <xf numFmtId="0" fontId="4" fillId="26" borderId="35" xfId="0" applyFont="1" applyFill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18" fillId="0" borderId="1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7" fillId="0" borderId="67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wrapText="1"/>
    </xf>
    <xf numFmtId="0" fontId="1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/>
    </xf>
    <xf numFmtId="1" fontId="8" fillId="0" borderId="0" xfId="0" applyNumberFormat="1" applyFont="1" applyAlignment="1" applyProtection="1">
      <alignment horizontal="center"/>
      <protection/>
    </xf>
    <xf numFmtId="4" fontId="0" fillId="0" borderId="0" xfId="0" applyNumberForma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83" fontId="0" fillId="0" borderId="0" xfId="0" applyNumberFormat="1" applyAlignment="1" applyProtection="1">
      <alignment horizontal="center"/>
      <protection/>
    </xf>
    <xf numFmtId="183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 vertical="center" wrapText="1"/>
      <protection locked="0"/>
    </xf>
    <xf numFmtId="4" fontId="24" fillId="0" borderId="53" xfId="0" applyNumberFormat="1" applyFont="1" applyBorder="1" applyAlignment="1" applyProtection="1">
      <alignment horizontal="center" vertical="center" wrapText="1"/>
      <protection locked="0"/>
    </xf>
    <xf numFmtId="1" fontId="24" fillId="0" borderId="53" xfId="0" applyNumberFormat="1" applyFont="1" applyBorder="1" applyAlignment="1" applyProtection="1">
      <alignment horizontal="center" vertical="center" wrapText="1"/>
      <protection locked="0"/>
    </xf>
    <xf numFmtId="0" fontId="24" fillId="0" borderId="53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vertical="center" wrapText="1"/>
      <protection locked="0"/>
    </xf>
    <xf numFmtId="4" fontId="24" fillId="0" borderId="68" xfId="0" applyNumberFormat="1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49" fillId="0" borderId="18" xfId="0" applyFont="1" applyFill="1" applyBorder="1" applyAlignment="1" applyProtection="1">
      <alignment horizontal="center" vertical="center"/>
      <protection locked="0"/>
    </xf>
    <xf numFmtId="1" fontId="11" fillId="0" borderId="18" xfId="0" applyNumberFormat="1" applyFont="1" applyBorder="1" applyAlignment="1" applyProtection="1">
      <alignment horizontal="center" vertical="center" wrapText="1"/>
      <protection locked="0"/>
    </xf>
    <xf numFmtId="1" fontId="50" fillId="0" borderId="18" xfId="0" applyNumberFormat="1" applyFont="1" applyBorder="1" applyAlignment="1" applyProtection="1">
      <alignment horizontal="center" vertical="center" wrapText="1"/>
      <protection locked="0"/>
    </xf>
    <xf numFmtId="1" fontId="50" fillId="0" borderId="24" xfId="0" applyNumberFormat="1" applyFont="1" applyBorder="1" applyAlignment="1" applyProtection="1">
      <alignment horizontal="center" vertical="center" wrapText="1"/>
      <protection locked="0"/>
    </xf>
    <xf numFmtId="1" fontId="50" fillId="0" borderId="27" xfId="0" applyNumberFormat="1" applyFont="1" applyBorder="1" applyAlignment="1" applyProtection="1">
      <alignment horizontal="center" vertical="center" wrapText="1"/>
      <protection locked="0"/>
    </xf>
    <xf numFmtId="1" fontId="11" fillId="0" borderId="25" xfId="0" applyNumberFormat="1" applyFont="1" applyBorder="1" applyAlignment="1" applyProtection="1">
      <alignment horizontal="center" vertical="center" wrapText="1"/>
      <protection locked="0"/>
    </xf>
    <xf numFmtId="1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Alignment="1" applyProtection="1">
      <alignment horizontal="center"/>
      <protection locked="0"/>
    </xf>
    <xf numFmtId="4" fontId="28" fillId="0" borderId="18" xfId="0" applyNumberFormat="1" applyFont="1" applyBorder="1" applyAlignment="1" applyProtection="1">
      <alignment/>
      <protection locked="0"/>
    </xf>
    <xf numFmtId="4" fontId="28" fillId="0" borderId="27" xfId="0" applyNumberFormat="1" applyFont="1" applyBorder="1" applyAlignment="1" applyProtection="1">
      <alignment/>
      <protection locked="0"/>
    </xf>
    <xf numFmtId="14" fontId="28" fillId="0" borderId="25" xfId="0" applyNumberFormat="1" applyFont="1" applyBorder="1" applyAlignment="1" applyProtection="1">
      <alignment horizontal="center"/>
      <protection locked="0"/>
    </xf>
    <xf numFmtId="182" fontId="28" fillId="0" borderId="18" xfId="0" applyNumberFormat="1" applyFont="1" applyBorder="1" applyAlignment="1" applyProtection="1">
      <alignment/>
      <protection locked="0"/>
    </xf>
    <xf numFmtId="3" fontId="28" fillId="0" borderId="23" xfId="0" applyNumberFormat="1" applyFont="1" applyBorder="1" applyAlignment="1" applyProtection="1">
      <alignment horizontal="center"/>
      <protection locked="0"/>
    </xf>
    <xf numFmtId="3" fontId="28" fillId="0" borderId="27" xfId="0" applyNumberFormat="1" applyFont="1" applyBorder="1" applyAlignment="1" applyProtection="1">
      <alignment horizontal="center"/>
      <protection locked="0"/>
    </xf>
    <xf numFmtId="3" fontId="28" fillId="0" borderId="24" xfId="0" applyNumberFormat="1" applyFont="1" applyBorder="1" applyAlignment="1" applyProtection="1">
      <alignment horizontal="center"/>
      <protection locked="0"/>
    </xf>
    <xf numFmtId="3" fontId="28" fillId="0" borderId="23" xfId="0" applyNumberFormat="1" applyFont="1" applyBorder="1" applyAlignment="1" applyProtection="1">
      <alignment/>
      <protection locked="0"/>
    </xf>
    <xf numFmtId="3" fontId="28" fillId="0" borderId="25" xfId="0" applyNumberFormat="1" applyFont="1" applyBorder="1" applyAlignment="1" applyProtection="1">
      <alignment/>
      <protection locked="0"/>
    </xf>
    <xf numFmtId="0" fontId="20" fillId="25" borderId="0" xfId="0" applyFont="1" applyFill="1" applyAlignment="1" applyProtection="1">
      <alignment/>
      <protection locked="0"/>
    </xf>
    <xf numFmtId="3" fontId="0" fillId="0" borderId="18" xfId="0" applyNumberFormat="1" applyBorder="1" applyAlignment="1" applyProtection="1">
      <alignment vertical="center"/>
      <protection/>
    </xf>
    <xf numFmtId="3" fontId="0" fillId="0" borderId="18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83" fontId="0" fillId="25" borderId="0" xfId="0" applyNumberFormat="1" applyFill="1" applyAlignment="1" applyProtection="1">
      <alignment horizontal="center"/>
      <protection/>
    </xf>
    <xf numFmtId="14" fontId="0" fillId="25" borderId="0" xfId="0" applyNumberFormat="1" applyFill="1" applyAlignment="1" applyProtection="1">
      <alignment horizontal="center"/>
      <protection/>
    </xf>
    <xf numFmtId="4" fontId="28" fillId="0" borderId="53" xfId="0" applyNumberFormat="1" applyFont="1" applyBorder="1" applyAlignment="1" applyProtection="1">
      <alignment/>
      <protection locked="0"/>
    </xf>
    <xf numFmtId="4" fontId="8" fillId="0" borderId="69" xfId="0" applyNumberFormat="1" applyFont="1" applyBorder="1" applyAlignment="1" applyProtection="1">
      <alignment/>
      <protection locked="0"/>
    </xf>
    <xf numFmtId="4" fontId="8" fillId="0" borderId="70" xfId="0" applyNumberFormat="1" applyFont="1" applyBorder="1" applyAlignment="1" applyProtection="1">
      <alignment/>
      <protection locked="0"/>
    </xf>
    <xf numFmtId="182" fontId="0" fillId="0" borderId="70" xfId="0" applyNumberFormat="1" applyBorder="1" applyAlignment="1" applyProtection="1">
      <alignment/>
      <protection locked="0"/>
    </xf>
    <xf numFmtId="182" fontId="0" fillId="0" borderId="71" xfId="0" applyNumberFormat="1" applyBorder="1" applyAlignment="1" applyProtection="1">
      <alignment/>
      <protection locked="0"/>
    </xf>
    <xf numFmtId="4" fontId="8" fillId="0" borderId="72" xfId="0" applyNumberFormat="1" applyFont="1" applyBorder="1" applyAlignment="1" applyProtection="1">
      <alignment/>
      <protection locked="0"/>
    </xf>
    <xf numFmtId="14" fontId="0" fillId="0" borderId="73" xfId="0" applyNumberFormat="1" applyBorder="1" applyAlignment="1" applyProtection="1">
      <alignment horizontal="center"/>
      <protection locked="0"/>
    </xf>
    <xf numFmtId="4" fontId="8" fillId="0" borderId="74" xfId="0" applyNumberFormat="1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/>
    </xf>
    <xf numFmtId="0" fontId="0" fillId="0" borderId="75" xfId="0" applyFill="1" applyBorder="1" applyAlignment="1" applyProtection="1">
      <alignment/>
      <protection/>
    </xf>
    <xf numFmtId="1" fontId="4" fillId="25" borderId="12" xfId="0" applyNumberFormat="1" applyFont="1" applyFill="1" applyBorder="1" applyAlignment="1" applyProtection="1">
      <alignment/>
      <protection/>
    </xf>
    <xf numFmtId="4" fontId="8" fillId="0" borderId="76" xfId="0" applyNumberFormat="1" applyFont="1" applyBorder="1" applyAlignment="1" applyProtection="1">
      <alignment/>
      <protection locked="0"/>
    </xf>
    <xf numFmtId="4" fontId="8" fillId="0" borderId="77" xfId="0" applyNumberFormat="1" applyFont="1" applyBorder="1" applyAlignment="1" applyProtection="1">
      <alignment/>
      <protection locked="0"/>
    </xf>
    <xf numFmtId="182" fontId="0" fillId="0" borderId="77" xfId="0" applyNumberFormat="1" applyBorder="1" applyAlignment="1" applyProtection="1">
      <alignment/>
      <protection locked="0"/>
    </xf>
    <xf numFmtId="182" fontId="0" fillId="0" borderId="78" xfId="0" applyNumberFormat="1" applyBorder="1" applyAlignment="1" applyProtection="1">
      <alignment/>
      <protection locked="0"/>
    </xf>
    <xf numFmtId="0" fontId="4" fillId="25" borderId="0" xfId="0" applyFont="1" applyFill="1" applyBorder="1" applyAlignment="1" applyProtection="1">
      <alignment/>
      <protection/>
    </xf>
    <xf numFmtId="4" fontId="4" fillId="25" borderId="12" xfId="0" applyNumberFormat="1" applyFont="1" applyFill="1" applyBorder="1" applyAlignment="1" applyProtection="1">
      <alignment horizontal="center"/>
      <protection/>
    </xf>
    <xf numFmtId="14" fontId="4" fillId="26" borderId="12" xfId="0" applyNumberFormat="1" applyFont="1" applyFill="1" applyBorder="1" applyAlignment="1" applyProtection="1">
      <alignment horizontal="center"/>
      <protection locked="0"/>
    </xf>
    <xf numFmtId="169" fontId="10" fillId="26" borderId="0" xfId="0" applyNumberFormat="1" applyFont="1" applyFill="1" applyBorder="1" applyAlignment="1" applyProtection="1">
      <alignment wrapText="1"/>
      <protection locked="0"/>
    </xf>
    <xf numFmtId="168" fontId="17" fillId="0" borderId="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4" fontId="4" fillId="0" borderId="0" xfId="0" applyNumberFormat="1" applyFont="1" applyAlignment="1">
      <alignment/>
    </xf>
    <xf numFmtId="1" fontId="4" fillId="26" borderId="35" xfId="0" applyNumberFormat="1" applyFont="1" applyFill="1" applyBorder="1" applyAlignment="1" applyProtection="1">
      <alignment horizontal="center"/>
      <protection locked="0"/>
    </xf>
    <xf numFmtId="0" fontId="5" fillId="20" borderId="79" xfId="0" applyFont="1" applyFill="1" applyBorder="1" applyAlignment="1">
      <alignment horizontal="right" vertical="center"/>
    </xf>
    <xf numFmtId="168" fontId="5" fillId="20" borderId="7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44" fontId="4" fillId="0" borderId="17" xfId="0" applyNumberFormat="1" applyFont="1" applyFill="1" applyBorder="1" applyAlignment="1" applyProtection="1">
      <alignment/>
      <protection/>
    </xf>
    <xf numFmtId="4" fontId="4" fillId="0" borderId="80" xfId="0" applyNumberFormat="1" applyFont="1" applyFill="1" applyBorder="1" applyAlignment="1" applyProtection="1">
      <alignment/>
      <protection/>
    </xf>
    <xf numFmtId="44" fontId="4" fillId="0" borderId="80" xfId="0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right"/>
      <protection/>
    </xf>
    <xf numFmtId="168" fontId="4" fillId="0" borderId="17" xfId="0" applyNumberFormat="1" applyFont="1" applyFill="1" applyBorder="1" applyAlignment="1" applyProtection="1">
      <alignment horizontal="right"/>
      <protection/>
    </xf>
    <xf numFmtId="4" fontId="4" fillId="0" borderId="39" xfId="0" applyNumberFormat="1" applyFont="1" applyFill="1" applyBorder="1" applyAlignment="1">
      <alignment horizontal="right" vertical="center"/>
    </xf>
    <xf numFmtId="168" fontId="4" fillId="0" borderId="39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right"/>
    </xf>
    <xf numFmtId="168" fontId="0" fillId="0" borderId="17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168" fontId="51" fillId="0" borderId="0" xfId="0" applyNumberFormat="1" applyFont="1" applyFill="1" applyBorder="1" applyAlignment="1">
      <alignment horizontal="left"/>
    </xf>
    <xf numFmtId="168" fontId="4" fillId="26" borderId="17" xfId="0" applyNumberFormat="1" applyFont="1" applyFill="1" applyBorder="1" applyAlignment="1" applyProtection="1">
      <alignment horizontal="right"/>
      <protection locked="0"/>
    </xf>
    <xf numFmtId="168" fontId="4" fillId="26" borderId="80" xfId="0" applyNumberFormat="1" applyFont="1" applyFill="1" applyBorder="1" applyAlignment="1" applyProtection="1">
      <alignment horizontal="right"/>
      <protection locked="0"/>
    </xf>
    <xf numFmtId="0" fontId="4" fillId="26" borderId="8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25" borderId="17" xfId="0" applyFont="1" applyFill="1" applyBorder="1" applyAlignment="1">
      <alignment horizontal="right"/>
    </xf>
    <xf numFmtId="168" fontId="4" fillId="25" borderId="17" xfId="0" applyNumberFormat="1" applyFont="1" applyFill="1" applyBorder="1" applyAlignment="1" applyProtection="1">
      <alignment horizontal="right"/>
      <protection locked="0"/>
    </xf>
    <xf numFmtId="4" fontId="4" fillId="25" borderId="39" xfId="0" applyNumberFormat="1" applyFont="1" applyFill="1" applyBorder="1" applyAlignment="1" applyProtection="1">
      <alignment horizontal="right"/>
      <protection locked="0"/>
    </xf>
    <xf numFmtId="168" fontId="4" fillId="25" borderId="3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4" fontId="4" fillId="26" borderId="39" xfId="0" applyNumberFormat="1" applyFont="1" applyFill="1" applyBorder="1" applyAlignment="1" applyProtection="1">
      <alignment horizontal="right" vertical="center"/>
      <protection locked="0"/>
    </xf>
    <xf numFmtId="168" fontId="4" fillId="26" borderId="39" xfId="0" applyNumberFormat="1" applyFont="1" applyFill="1" applyBorder="1" applyAlignment="1" applyProtection="1">
      <alignment horizontal="right"/>
      <protection locked="0"/>
    </xf>
    <xf numFmtId="14" fontId="8" fillId="0" borderId="0" xfId="0" applyNumberFormat="1" applyFont="1" applyAlignment="1">
      <alignment horizontal="center"/>
    </xf>
    <xf numFmtId="168" fontId="4" fillId="6" borderId="81" xfId="0" applyNumberFormat="1" applyFont="1" applyFill="1" applyBorder="1" applyAlignment="1" applyProtection="1">
      <alignment horizontal="center"/>
      <protection locked="0"/>
    </xf>
    <xf numFmtId="168" fontId="4" fillId="6" borderId="22" xfId="0" applyNumberFormat="1" applyFont="1" applyFill="1" applyBorder="1" applyAlignment="1" applyProtection="1">
      <alignment horizontal="center"/>
      <protection locked="0"/>
    </xf>
    <xf numFmtId="168" fontId="4" fillId="6" borderId="55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7" fillId="25" borderId="0" xfId="0" applyFont="1" applyFill="1" applyAlignment="1">
      <alignment/>
    </xf>
    <xf numFmtId="0" fontId="17" fillId="25" borderId="0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17" fillId="0" borderId="0" xfId="0" applyFont="1" applyAlignment="1" applyProtection="1">
      <alignment/>
      <protection hidden="1"/>
    </xf>
    <xf numFmtId="0" fontId="17" fillId="0" borderId="32" xfId="0" applyFont="1" applyBorder="1" applyAlignment="1" applyProtection="1">
      <alignment horizontal="center"/>
      <protection hidden="1"/>
    </xf>
    <xf numFmtId="0" fontId="17" fillId="0" borderId="37" xfId="0" applyFont="1" applyBorder="1" applyAlignment="1" applyProtection="1">
      <alignment/>
      <protection hidden="1"/>
    </xf>
    <xf numFmtId="0" fontId="17" fillId="0" borderId="37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/>
    </xf>
    <xf numFmtId="0" fontId="20" fillId="25" borderId="0" xfId="0" applyFont="1" applyFill="1" applyBorder="1" applyAlignment="1" applyProtection="1">
      <alignment/>
      <protection hidden="1"/>
    </xf>
    <xf numFmtId="0" fontId="17" fillId="25" borderId="0" xfId="0" applyFont="1" applyFill="1" applyBorder="1" applyAlignment="1" applyProtection="1">
      <alignment/>
      <protection hidden="1"/>
    </xf>
    <xf numFmtId="0" fontId="17" fillId="0" borderId="0" xfId="0" applyFont="1" applyBorder="1" applyAlignment="1">
      <alignment/>
    </xf>
    <xf numFmtId="0" fontId="52" fillId="25" borderId="0" xfId="0" applyFont="1" applyFill="1" applyBorder="1" applyAlignment="1" applyProtection="1">
      <alignment horizontal="center"/>
      <protection hidden="1"/>
    </xf>
    <xf numFmtId="0" fontId="20" fillId="25" borderId="0" xfId="0" applyFont="1" applyFill="1" applyAlignment="1" applyProtection="1">
      <alignment/>
      <protection hidden="1"/>
    </xf>
    <xf numFmtId="0" fontId="17" fillId="25" borderId="0" xfId="0" applyFont="1" applyFill="1" applyAlignment="1" applyProtection="1">
      <alignment/>
      <protection hidden="1"/>
    </xf>
    <xf numFmtId="0" fontId="20" fillId="0" borderId="0" xfId="0" applyFont="1" applyAlignment="1">
      <alignment/>
    </xf>
    <xf numFmtId="0" fontId="20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54" fillId="0" borderId="0" xfId="0" applyFont="1" applyAlignment="1">
      <alignment/>
    </xf>
    <xf numFmtId="0" fontId="4" fillId="27" borderId="0" xfId="0" applyFont="1" applyFill="1" applyAlignment="1">
      <alignment/>
    </xf>
    <xf numFmtId="1" fontId="16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4" fontId="54" fillId="0" borderId="0" xfId="0" applyNumberFormat="1" applyFont="1" applyAlignment="1">
      <alignment/>
    </xf>
    <xf numFmtId="0" fontId="0" fillId="0" borderId="18" xfId="0" applyFont="1" applyBorder="1" applyAlignment="1">
      <alignment wrapText="1"/>
    </xf>
    <xf numFmtId="0" fontId="58" fillId="0" borderId="18" xfId="0" applyFont="1" applyBorder="1" applyAlignment="1">
      <alignment wrapText="1"/>
    </xf>
    <xf numFmtId="0" fontId="0" fillId="25" borderId="0" xfId="0" applyFont="1" applyFill="1" applyBorder="1" applyAlignment="1" applyProtection="1">
      <alignment/>
      <protection/>
    </xf>
    <xf numFmtId="0" fontId="0" fillId="25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hidden="1"/>
    </xf>
    <xf numFmtId="0" fontId="0" fillId="25" borderId="0" xfId="0" applyFont="1" applyFill="1" applyAlignment="1" applyProtection="1">
      <alignment/>
      <protection/>
    </xf>
    <xf numFmtId="0" fontId="0" fillId="25" borderId="0" xfId="0" applyFont="1" applyFill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/>
    </xf>
    <xf numFmtId="0" fontId="58" fillId="0" borderId="82" xfId="0" applyFont="1" applyBorder="1" applyAlignment="1">
      <alignment wrapText="1"/>
    </xf>
    <xf numFmtId="0" fontId="12" fillId="0" borderId="0" xfId="0" applyFont="1" applyBorder="1" applyAlignment="1">
      <alignment/>
    </xf>
    <xf numFmtId="0" fontId="59" fillId="0" borderId="0" xfId="0" applyFont="1" applyBorder="1" applyAlignment="1" applyProtection="1">
      <alignment/>
      <protection locked="0"/>
    </xf>
    <xf numFmtId="0" fontId="59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60" fillId="0" borderId="58" xfId="0" applyFont="1" applyFill="1" applyBorder="1" applyAlignment="1">
      <alignment wrapText="1"/>
    </xf>
    <xf numFmtId="0" fontId="60" fillId="0" borderId="18" xfId="0" applyFont="1" applyFill="1" applyBorder="1" applyAlignment="1">
      <alignment wrapText="1"/>
    </xf>
    <xf numFmtId="0" fontId="59" fillId="0" borderId="0" xfId="0" applyFont="1" applyAlignment="1">
      <alignment/>
    </xf>
    <xf numFmtId="0" fontId="59" fillId="25" borderId="0" xfId="0" applyFont="1" applyFill="1" applyBorder="1" applyAlignment="1" applyProtection="1">
      <alignment/>
      <protection/>
    </xf>
    <xf numFmtId="0" fontId="59" fillId="25" borderId="0" xfId="0" applyFont="1" applyFill="1" applyBorder="1" applyAlignment="1" applyProtection="1">
      <alignment horizontal="center"/>
      <protection/>
    </xf>
    <xf numFmtId="0" fontId="61" fillId="25" borderId="0" xfId="0" applyFont="1" applyFill="1" applyBorder="1" applyAlignment="1">
      <alignment wrapText="1"/>
    </xf>
    <xf numFmtId="0" fontId="59" fillId="25" borderId="0" xfId="0" applyFont="1" applyFill="1" applyAlignment="1">
      <alignment/>
    </xf>
    <xf numFmtId="0" fontId="60" fillId="25" borderId="0" xfId="0" applyFont="1" applyFill="1" applyBorder="1" applyAlignment="1" applyProtection="1">
      <alignment/>
      <protection/>
    </xf>
    <xf numFmtId="0" fontId="60" fillId="25" borderId="0" xfId="0" applyFont="1" applyFill="1" applyBorder="1" applyAlignment="1" applyProtection="1">
      <alignment horizontal="right"/>
      <protection/>
    </xf>
    <xf numFmtId="168" fontId="59" fillId="25" borderId="0" xfId="0" applyNumberFormat="1" applyFont="1" applyFill="1" applyBorder="1" applyAlignment="1" applyProtection="1">
      <alignment/>
      <protection/>
    </xf>
    <xf numFmtId="0" fontId="59" fillId="25" borderId="0" xfId="0" applyFont="1" applyFill="1" applyBorder="1" applyAlignment="1">
      <alignment/>
    </xf>
    <xf numFmtId="0" fontId="59" fillId="0" borderId="0" xfId="0" applyFont="1" applyFill="1" applyBorder="1" applyAlignment="1" applyProtection="1">
      <alignment/>
      <protection/>
    </xf>
    <xf numFmtId="4" fontId="59" fillId="25" borderId="0" xfId="0" applyNumberFormat="1" applyFont="1" applyFill="1" applyBorder="1" applyAlignment="1" applyProtection="1">
      <alignment/>
      <protection/>
    </xf>
    <xf numFmtId="0" fontId="60" fillId="25" borderId="0" xfId="0" applyFont="1" applyFill="1" applyBorder="1" applyAlignment="1" applyProtection="1">
      <alignment horizontal="center"/>
      <protection/>
    </xf>
    <xf numFmtId="168" fontId="60" fillId="25" borderId="0" xfId="0" applyNumberFormat="1" applyFont="1" applyFill="1" applyBorder="1" applyAlignment="1" applyProtection="1">
      <alignment horizontal="center"/>
      <protection/>
    </xf>
    <xf numFmtId="175" fontId="60" fillId="25" borderId="0" xfId="0" applyNumberFormat="1" applyFont="1" applyFill="1" applyBorder="1" applyAlignment="1" applyProtection="1">
      <alignment/>
      <protection/>
    </xf>
    <xf numFmtId="175" fontId="62" fillId="25" borderId="0" xfId="0" applyNumberFormat="1" applyFont="1" applyFill="1" applyBorder="1" applyAlignment="1" applyProtection="1">
      <alignment horizontal="center"/>
      <protection/>
    </xf>
    <xf numFmtId="174" fontId="60" fillId="25" borderId="0" xfId="0" applyNumberFormat="1" applyFont="1" applyFill="1" applyBorder="1" applyAlignment="1" applyProtection="1">
      <alignment horizontal="center"/>
      <protection/>
    </xf>
    <xf numFmtId="176" fontId="60" fillId="25" borderId="0" xfId="0" applyNumberFormat="1" applyFont="1" applyFill="1" applyBorder="1" applyAlignment="1" applyProtection="1">
      <alignment horizontal="center"/>
      <protection/>
    </xf>
    <xf numFmtId="176" fontId="60" fillId="25" borderId="0" xfId="0" applyNumberFormat="1" applyFont="1" applyFill="1" applyBorder="1" applyAlignment="1" applyProtection="1">
      <alignment/>
      <protection/>
    </xf>
    <xf numFmtId="166" fontId="60" fillId="25" borderId="0" xfId="0" applyNumberFormat="1" applyFont="1" applyFill="1" applyBorder="1" applyAlignment="1" applyProtection="1">
      <alignment horizontal="right"/>
      <protection/>
    </xf>
    <xf numFmtId="4" fontId="60" fillId="25" borderId="0" xfId="0" applyNumberFormat="1" applyFont="1" applyFill="1" applyBorder="1" applyAlignment="1" applyProtection="1">
      <alignment/>
      <protection/>
    </xf>
    <xf numFmtId="171" fontId="60" fillId="25" borderId="0" xfId="0" applyNumberFormat="1" applyFont="1" applyFill="1" applyBorder="1" applyAlignment="1" applyProtection="1">
      <alignment/>
      <protection/>
    </xf>
    <xf numFmtId="173" fontId="60" fillId="25" borderId="0" xfId="0" applyNumberFormat="1" applyFont="1" applyFill="1" applyBorder="1" applyAlignment="1" applyProtection="1">
      <alignment/>
      <protection/>
    </xf>
    <xf numFmtId="22" fontId="60" fillId="25" borderId="0" xfId="0" applyNumberFormat="1" applyFont="1" applyFill="1" applyBorder="1" applyAlignment="1" applyProtection="1">
      <alignment/>
      <protection/>
    </xf>
    <xf numFmtId="0" fontId="60" fillId="25" borderId="0" xfId="0" applyFont="1" applyFill="1" applyAlignment="1">
      <alignment/>
    </xf>
    <xf numFmtId="174" fontId="62" fillId="25" borderId="0" xfId="0" applyNumberFormat="1" applyFont="1" applyFill="1" applyBorder="1" applyAlignment="1" applyProtection="1">
      <alignment horizontal="center"/>
      <protection/>
    </xf>
    <xf numFmtId="175" fontId="62" fillId="25" borderId="0" xfId="0" applyNumberFormat="1" applyFont="1" applyFill="1" applyBorder="1" applyAlignment="1" applyProtection="1">
      <alignment/>
      <protection/>
    </xf>
    <xf numFmtId="20" fontId="60" fillId="25" borderId="0" xfId="0" applyNumberFormat="1" applyFont="1" applyFill="1" applyBorder="1" applyAlignment="1" applyProtection="1">
      <alignment/>
      <protection/>
    </xf>
    <xf numFmtId="174" fontId="60" fillId="25" borderId="0" xfId="0" applyNumberFormat="1" applyFont="1" applyFill="1" applyBorder="1" applyAlignment="1" applyProtection="1">
      <alignment/>
      <protection/>
    </xf>
    <xf numFmtId="2" fontId="60" fillId="25" borderId="0" xfId="0" applyNumberFormat="1" applyFont="1" applyFill="1" applyBorder="1" applyAlignment="1" applyProtection="1">
      <alignment/>
      <protection/>
    </xf>
    <xf numFmtId="171" fontId="60" fillId="25" borderId="0" xfId="0" applyNumberFormat="1" applyFont="1" applyFill="1" applyBorder="1" applyAlignment="1" applyProtection="1">
      <alignment horizontal="center"/>
      <protection/>
    </xf>
    <xf numFmtId="170" fontId="60" fillId="25" borderId="0" xfId="0" applyNumberFormat="1" applyFont="1" applyFill="1" applyBorder="1" applyAlignment="1" applyProtection="1">
      <alignment/>
      <protection/>
    </xf>
    <xf numFmtId="166" fontId="60" fillId="25" borderId="0" xfId="0" applyNumberFormat="1" applyFont="1" applyFill="1" applyBorder="1" applyAlignment="1" applyProtection="1">
      <alignment/>
      <protection/>
    </xf>
    <xf numFmtId="180" fontId="62" fillId="25" borderId="0" xfId="0" applyNumberFormat="1" applyFont="1" applyFill="1" applyBorder="1" applyAlignment="1" applyProtection="1">
      <alignment/>
      <protection/>
    </xf>
    <xf numFmtId="171" fontId="62" fillId="25" borderId="0" xfId="0" applyNumberFormat="1" applyFont="1" applyFill="1" applyBorder="1" applyAlignment="1" applyProtection="1">
      <alignment/>
      <protection/>
    </xf>
    <xf numFmtId="4" fontId="60" fillId="25" borderId="0" xfId="0" applyNumberFormat="1" applyFont="1" applyFill="1" applyBorder="1" applyAlignment="1" applyProtection="1">
      <alignment horizontal="right"/>
      <protection/>
    </xf>
    <xf numFmtId="168" fontId="60" fillId="25" borderId="0" xfId="0" applyNumberFormat="1" applyFont="1" applyFill="1" applyBorder="1" applyAlignment="1" applyProtection="1">
      <alignment horizontal="right"/>
      <protection/>
    </xf>
    <xf numFmtId="168" fontId="60" fillId="25" borderId="0" xfId="0" applyNumberFormat="1" applyFont="1" applyFill="1" applyBorder="1" applyAlignment="1" applyProtection="1">
      <alignment/>
      <protection/>
    </xf>
    <xf numFmtId="4" fontId="60" fillId="25" borderId="0" xfId="0" applyNumberFormat="1" applyFont="1" applyFill="1" applyBorder="1" applyAlignment="1" applyProtection="1">
      <alignment horizontal="center"/>
      <protection/>
    </xf>
    <xf numFmtId="179" fontId="62" fillId="25" borderId="0" xfId="0" applyNumberFormat="1" applyFont="1" applyFill="1" applyBorder="1" applyAlignment="1" applyProtection="1">
      <alignment horizontal="center"/>
      <protection/>
    </xf>
    <xf numFmtId="3" fontId="60" fillId="25" borderId="0" xfId="0" applyNumberFormat="1" applyFont="1" applyFill="1" applyBorder="1" applyAlignment="1" applyProtection="1">
      <alignment horizontal="center"/>
      <protection/>
    </xf>
    <xf numFmtId="177" fontId="62" fillId="25" borderId="0" xfId="0" applyNumberFormat="1" applyFont="1" applyFill="1" applyBorder="1" applyAlignment="1" applyProtection="1">
      <alignment/>
      <protection/>
    </xf>
    <xf numFmtId="179" fontId="60" fillId="25" borderId="0" xfId="0" applyNumberFormat="1" applyFont="1" applyFill="1" applyBorder="1" applyAlignment="1" applyProtection="1">
      <alignment horizontal="center"/>
      <protection/>
    </xf>
    <xf numFmtId="4" fontId="63" fillId="25" borderId="0" xfId="0" applyNumberFormat="1" applyFont="1" applyFill="1" applyBorder="1" applyAlignment="1" applyProtection="1">
      <alignment horizontal="center"/>
      <protection/>
    </xf>
    <xf numFmtId="178" fontId="60" fillId="25" borderId="0" xfId="0" applyNumberFormat="1" applyFont="1" applyFill="1" applyBorder="1" applyAlignment="1" applyProtection="1">
      <alignment horizontal="center"/>
      <protection/>
    </xf>
    <xf numFmtId="0" fontId="60" fillId="25" borderId="0" xfId="0" applyFont="1" applyFill="1" applyBorder="1" applyAlignment="1" applyProtection="1">
      <alignment/>
      <protection hidden="1"/>
    </xf>
    <xf numFmtId="0" fontId="59" fillId="25" borderId="0" xfId="0" applyFont="1" applyFill="1" applyBorder="1" applyAlignment="1" applyProtection="1">
      <alignment/>
      <protection hidden="1"/>
    </xf>
    <xf numFmtId="0" fontId="59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14" fontId="64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" fillId="26" borderId="23" xfId="0" applyFont="1" applyFill="1" applyBorder="1" applyAlignment="1" applyProtection="1">
      <alignment horizontal="center"/>
      <protection locked="0"/>
    </xf>
    <xf numFmtId="0" fontId="4" fillId="26" borderId="25" xfId="0" applyFont="1" applyFill="1" applyBorder="1" applyAlignment="1" applyProtection="1">
      <alignment horizontal="center"/>
      <protection locked="0"/>
    </xf>
    <xf numFmtId="176" fontId="4" fillId="26" borderId="23" xfId="0" applyNumberFormat="1" applyFont="1" applyFill="1" applyBorder="1" applyAlignment="1" applyProtection="1">
      <alignment horizontal="center"/>
      <protection locked="0"/>
    </xf>
    <xf numFmtId="176" fontId="4" fillId="26" borderId="25" xfId="0" applyNumberFormat="1" applyFont="1" applyFill="1" applyBorder="1" applyAlignment="1" applyProtection="1">
      <alignment horizontal="center"/>
      <protection locked="0"/>
    </xf>
    <xf numFmtId="0" fontId="5" fillId="0" borderId="43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5" fillId="20" borderId="83" xfId="0" applyFont="1" applyFill="1" applyBorder="1" applyAlignment="1">
      <alignment horizontal="center" vertical="center"/>
    </xf>
    <xf numFmtId="0" fontId="5" fillId="20" borderId="8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/>
    </xf>
    <xf numFmtId="0" fontId="5" fillId="20" borderId="14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0" fontId="5" fillId="20" borderId="21" xfId="0" applyFont="1" applyFill="1" applyBorder="1" applyAlignment="1">
      <alignment horizontal="center" vertical="center"/>
    </xf>
    <xf numFmtId="14" fontId="4" fillId="26" borderId="46" xfId="0" applyNumberFormat="1" applyFont="1" applyFill="1" applyBorder="1" applyAlignment="1" applyProtection="1">
      <alignment horizontal="center"/>
      <protection locked="0"/>
    </xf>
    <xf numFmtId="14" fontId="4" fillId="26" borderId="47" xfId="0" applyNumberFormat="1" applyFont="1" applyFill="1" applyBorder="1" applyAlignment="1" applyProtection="1">
      <alignment horizontal="center"/>
      <protection locked="0"/>
    </xf>
    <xf numFmtId="0" fontId="3" fillId="0" borderId="8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8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" fontId="22" fillId="26" borderId="0" xfId="0" applyNumberFormat="1" applyFont="1" applyFill="1" applyBorder="1" applyAlignment="1" applyProtection="1">
      <alignment horizontal="center"/>
      <protection locked="0"/>
    </xf>
    <xf numFmtId="172" fontId="4" fillId="25" borderId="0" xfId="0" applyNumberFormat="1" applyFont="1" applyFill="1" applyBorder="1" applyAlignment="1" applyProtection="1">
      <alignment horizontal="center"/>
      <protection/>
    </xf>
    <xf numFmtId="0" fontId="5" fillId="20" borderId="38" xfId="0" applyFont="1" applyFill="1" applyBorder="1" applyAlignment="1">
      <alignment horizontal="right" vertical="center"/>
    </xf>
    <xf numFmtId="0" fontId="5" fillId="20" borderId="39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45" fillId="20" borderId="38" xfId="0" applyNumberFormat="1" applyFont="1" applyFill="1" applyBorder="1" applyAlignment="1">
      <alignment horizontal="right" vertical="center"/>
    </xf>
    <xf numFmtId="168" fontId="45" fillId="20" borderId="39" xfId="0" applyNumberFormat="1" applyFont="1" applyFill="1" applyBorder="1" applyAlignment="1">
      <alignment horizontal="right" vertical="center"/>
    </xf>
    <xf numFmtId="0" fontId="10" fillId="26" borderId="12" xfId="0" applyFont="1" applyFill="1" applyBorder="1" applyAlignment="1" applyProtection="1">
      <alignment horizontal="center"/>
      <protection locked="0"/>
    </xf>
    <xf numFmtId="0" fontId="4" fillId="25" borderId="0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26" borderId="46" xfId="0" applyFont="1" applyFill="1" applyBorder="1" applyAlignment="1" applyProtection="1">
      <alignment horizontal="center"/>
      <protection locked="0"/>
    </xf>
    <xf numFmtId="0" fontId="4" fillId="26" borderId="47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68" fontId="10" fillId="0" borderId="12" xfId="0" applyNumberFormat="1" applyFont="1" applyBorder="1" applyAlignment="1" applyProtection="1">
      <alignment horizontal="center"/>
      <protection locked="0"/>
    </xf>
    <xf numFmtId="0" fontId="19" fillId="0" borderId="11" xfId="0" applyFont="1" applyBorder="1" applyAlignment="1">
      <alignment horizontal="center" vertical="center" wrapText="1"/>
    </xf>
    <xf numFmtId="0" fontId="5" fillId="20" borderId="85" xfId="0" applyFont="1" applyFill="1" applyBorder="1" applyAlignment="1">
      <alignment horizontal="center" vertical="center"/>
    </xf>
    <xf numFmtId="0" fontId="5" fillId="20" borderId="29" xfId="0" applyFont="1" applyFill="1" applyBorder="1" applyAlignment="1">
      <alignment horizontal="center" vertical="center"/>
    </xf>
    <xf numFmtId="0" fontId="5" fillId="20" borderId="8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26" borderId="54" xfId="0" applyFont="1" applyFill="1" applyBorder="1" applyAlignment="1" applyProtection="1">
      <alignment horizontal="center"/>
      <protection locked="0"/>
    </xf>
    <xf numFmtId="0" fontId="5" fillId="0" borderId="5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4" fontId="4" fillId="26" borderId="12" xfId="0" applyNumberFormat="1" applyFont="1" applyFill="1" applyBorder="1" applyAlignment="1" applyProtection="1">
      <alignment horizontal="center"/>
      <protection locked="0"/>
    </xf>
    <xf numFmtId="0" fontId="4" fillId="26" borderId="12" xfId="0" applyFont="1" applyFill="1" applyBorder="1" applyAlignment="1" applyProtection="1">
      <alignment horizontal="center"/>
      <protection locked="0"/>
    </xf>
    <xf numFmtId="169" fontId="10" fillId="26" borderId="12" xfId="0" applyNumberFormat="1" applyFont="1" applyFill="1" applyBorder="1" applyAlignment="1" applyProtection="1">
      <alignment horizontal="center" wrapText="1"/>
      <protection locked="0"/>
    </xf>
    <xf numFmtId="0" fontId="0" fillId="0" borderId="16" xfId="0" applyFont="1" applyBorder="1" applyAlignment="1">
      <alignment horizontal="center" vertical="top"/>
    </xf>
    <xf numFmtId="14" fontId="10" fillId="26" borderId="12" xfId="0" applyNumberFormat="1" applyFont="1" applyFill="1" applyBorder="1" applyAlignment="1" applyProtection="1">
      <alignment horizontal="center"/>
      <protection locked="0"/>
    </xf>
    <xf numFmtId="14" fontId="3" fillId="26" borderId="12" xfId="0" applyNumberFormat="1" applyFont="1" applyFill="1" applyBorder="1" applyAlignment="1" applyProtection="1">
      <alignment horizontal="center"/>
      <protection locked="0"/>
    </xf>
    <xf numFmtId="0" fontId="3" fillId="26" borderId="12" xfId="0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4" fillId="26" borderId="15" xfId="0" applyFont="1" applyFill="1" applyBorder="1" applyAlignment="1" applyProtection="1">
      <alignment horizontal="center" vertical="center" wrapText="1"/>
      <protection locked="0"/>
    </xf>
    <xf numFmtId="0" fontId="4" fillId="26" borderId="0" xfId="0" applyFont="1" applyFill="1" applyBorder="1" applyAlignment="1" applyProtection="1">
      <alignment horizontal="center" vertical="center" wrapText="1"/>
      <protection locked="0"/>
    </xf>
    <xf numFmtId="0" fontId="4" fillId="26" borderId="10" xfId="0" applyFont="1" applyFill="1" applyBorder="1" applyAlignment="1" applyProtection="1">
      <alignment horizontal="center" vertical="center" wrapText="1"/>
      <protection locked="0"/>
    </xf>
    <xf numFmtId="0" fontId="4" fillId="26" borderId="20" xfId="0" applyFont="1" applyFill="1" applyBorder="1" applyAlignment="1" applyProtection="1">
      <alignment horizontal="center" vertical="center" wrapText="1"/>
      <protection locked="0"/>
    </xf>
    <xf numFmtId="0" fontId="4" fillId="26" borderId="11" xfId="0" applyFont="1" applyFill="1" applyBorder="1" applyAlignment="1" applyProtection="1">
      <alignment horizontal="center" vertical="center" wrapText="1"/>
      <protection locked="0"/>
    </xf>
    <xf numFmtId="0" fontId="4" fillId="26" borderId="2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8" fontId="60" fillId="25" borderId="0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5" borderId="38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4" fillId="25" borderId="39" xfId="0" applyFont="1" applyFill="1" applyBorder="1" applyAlignment="1">
      <alignment horizontal="center" vertical="center" wrapText="1"/>
    </xf>
    <xf numFmtId="168" fontId="4" fillId="25" borderId="38" xfId="0" applyNumberFormat="1" applyFont="1" applyFill="1" applyBorder="1" applyAlignment="1">
      <alignment horizontal="center" vertical="center" wrapText="1"/>
    </xf>
    <xf numFmtId="168" fontId="4" fillId="25" borderId="17" xfId="0" applyNumberFormat="1" applyFont="1" applyFill="1" applyBorder="1" applyAlignment="1">
      <alignment horizontal="center" vertical="center" wrapText="1"/>
    </xf>
    <xf numFmtId="168" fontId="4" fillId="25" borderId="39" xfId="0" applyNumberFormat="1" applyFont="1" applyFill="1" applyBorder="1" applyAlignment="1">
      <alignment horizontal="center" vertical="center" wrapText="1"/>
    </xf>
    <xf numFmtId="14" fontId="4" fillId="26" borderId="23" xfId="0" applyNumberFormat="1" applyFont="1" applyFill="1" applyBorder="1" applyAlignment="1" applyProtection="1">
      <alignment horizontal="center"/>
      <protection locked="0"/>
    </xf>
    <xf numFmtId="14" fontId="4" fillId="26" borderId="25" xfId="0" applyNumberFormat="1" applyFont="1" applyFill="1" applyBorder="1" applyAlignment="1" applyProtection="1">
      <alignment horizontal="center"/>
      <protection locked="0"/>
    </xf>
    <xf numFmtId="4" fontId="5" fillId="20" borderId="89" xfId="0" applyNumberFormat="1" applyFont="1" applyFill="1" applyBorder="1" applyAlignment="1">
      <alignment horizontal="right" vertical="center"/>
    </xf>
    <xf numFmtId="4" fontId="5" fillId="20" borderId="39" xfId="0" applyNumberFormat="1" applyFont="1" applyFill="1" applyBorder="1" applyAlignment="1">
      <alignment horizontal="right" vertical="center"/>
    </xf>
    <xf numFmtId="44" fontId="5" fillId="20" borderId="89" xfId="0" applyNumberFormat="1" applyFont="1" applyFill="1" applyBorder="1" applyAlignment="1">
      <alignment horizontal="center" vertical="center"/>
    </xf>
    <xf numFmtId="44" fontId="5" fillId="20" borderId="39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vertical="center"/>
    </xf>
    <xf numFmtId="0" fontId="5" fillId="20" borderId="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4" fillId="20" borderId="38" xfId="0" applyFont="1" applyFill="1" applyBorder="1" applyAlignment="1">
      <alignment horizontal="center"/>
    </xf>
    <xf numFmtId="0" fontId="4" fillId="20" borderId="17" xfId="0" applyFont="1" applyFill="1" applyBorder="1" applyAlignment="1">
      <alignment horizontal="center"/>
    </xf>
    <xf numFmtId="0" fontId="4" fillId="20" borderId="39" xfId="0" applyFont="1" applyFill="1" applyBorder="1" applyAlignment="1">
      <alignment horizontal="center"/>
    </xf>
    <xf numFmtId="168" fontId="45" fillId="20" borderId="17" xfId="0" applyNumberFormat="1" applyFont="1" applyFill="1" applyBorder="1" applyAlignment="1">
      <alignment horizontal="right" vertical="center"/>
    </xf>
    <xf numFmtId="4" fontId="5" fillId="20" borderId="38" xfId="0" applyNumberFormat="1" applyFont="1" applyFill="1" applyBorder="1" applyAlignment="1">
      <alignment horizontal="right" vertical="center"/>
    </xf>
    <xf numFmtId="0" fontId="5" fillId="20" borderId="38" xfId="0" applyFont="1" applyFill="1" applyBorder="1" applyAlignment="1">
      <alignment horizontal="center" vertical="center"/>
    </xf>
    <xf numFmtId="0" fontId="5" fillId="20" borderId="39" xfId="0" applyFont="1" applyFill="1" applyBorder="1" applyAlignment="1">
      <alignment horizontal="center" vertical="center"/>
    </xf>
    <xf numFmtId="1" fontId="16" fillId="0" borderId="53" xfId="0" applyNumberFormat="1" applyFont="1" applyBorder="1" applyAlignment="1" applyProtection="1">
      <alignment horizontal="center" vertical="center" textRotation="90"/>
      <protection locked="0"/>
    </xf>
    <xf numFmtId="1" fontId="16" fillId="0" borderId="75" xfId="0" applyNumberFormat="1" applyFont="1" applyBorder="1" applyAlignment="1" applyProtection="1">
      <alignment horizontal="center" vertical="center" textRotation="90"/>
      <protection locked="0"/>
    </xf>
    <xf numFmtId="1" fontId="16" fillId="0" borderId="37" xfId="0" applyNumberFormat="1" applyFont="1" applyBorder="1" applyAlignment="1" applyProtection="1">
      <alignment horizontal="center" vertical="center" textRotation="90"/>
      <protection locked="0"/>
    </xf>
    <xf numFmtId="182" fontId="28" fillId="0" borderId="53" xfId="0" applyNumberFormat="1" applyFont="1" applyBorder="1" applyAlignment="1" applyProtection="1">
      <alignment horizontal="center" vertical="center"/>
      <protection locked="0"/>
    </xf>
    <xf numFmtId="182" fontId="28" fillId="0" borderId="75" xfId="0" applyNumberFormat="1" applyFont="1" applyBorder="1" applyAlignment="1" applyProtection="1">
      <alignment horizontal="center" vertical="center"/>
      <protection locked="0"/>
    </xf>
    <xf numFmtId="182" fontId="28" fillId="0" borderId="37" xfId="0" applyNumberFormat="1" applyFont="1" applyBorder="1" applyAlignment="1" applyProtection="1">
      <alignment horizontal="center" vertical="center"/>
      <protection locked="0"/>
    </xf>
    <xf numFmtId="1" fontId="16" fillId="0" borderId="61" xfId="0" applyNumberFormat="1" applyFont="1" applyBorder="1" applyAlignment="1" applyProtection="1">
      <alignment horizontal="center" vertical="center" textRotation="90"/>
      <protection locked="0"/>
    </xf>
    <xf numFmtId="1" fontId="16" fillId="0" borderId="62" xfId="0" applyNumberFormat="1" applyFont="1" applyBorder="1" applyAlignment="1" applyProtection="1">
      <alignment horizontal="center" vertical="center" textRotation="90"/>
      <protection locked="0"/>
    </xf>
    <xf numFmtId="1" fontId="16" fillId="0" borderId="32" xfId="0" applyNumberFormat="1" applyFont="1" applyBorder="1" applyAlignment="1" applyProtection="1">
      <alignment horizontal="center" vertical="center" textRotation="90"/>
      <protection locked="0"/>
    </xf>
    <xf numFmtId="1" fontId="46" fillId="0" borderId="23" xfId="0" applyNumberFormat="1" applyFont="1" applyBorder="1" applyAlignment="1" applyProtection="1">
      <alignment horizontal="center" vertical="center" wrapText="1"/>
      <protection locked="0"/>
    </xf>
    <xf numFmtId="1" fontId="46" fillId="0" borderId="24" xfId="0" applyNumberFormat="1" applyFont="1" applyBorder="1" applyAlignment="1" applyProtection="1">
      <alignment horizontal="center" vertical="center" wrapText="1"/>
      <protection locked="0"/>
    </xf>
    <xf numFmtId="1" fontId="46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90" xfId="0" applyFont="1" applyBorder="1" applyAlignment="1" applyProtection="1">
      <alignment horizontal="center"/>
      <protection locked="0"/>
    </xf>
    <xf numFmtId="0" fontId="8" fillId="0" borderId="76" xfId="0" applyFont="1" applyBorder="1" applyAlignment="1" applyProtection="1">
      <alignment horizontal="center"/>
      <protection locked="0"/>
    </xf>
    <xf numFmtId="1" fontId="16" fillId="0" borderId="53" xfId="0" applyNumberFormat="1" applyFont="1" applyBorder="1" applyAlignment="1" applyProtection="1">
      <alignment horizontal="center" vertical="center" textRotation="90"/>
      <protection locked="0"/>
    </xf>
    <xf numFmtId="1" fontId="16" fillId="0" borderId="75" xfId="0" applyNumberFormat="1" applyFont="1" applyBorder="1" applyAlignment="1" applyProtection="1">
      <alignment horizontal="center" vertical="center" textRotation="90"/>
      <protection locked="0"/>
    </xf>
    <xf numFmtId="1" fontId="16" fillId="0" borderId="37" xfId="0" applyNumberFormat="1" applyFont="1" applyBorder="1" applyAlignment="1" applyProtection="1">
      <alignment horizontal="center" vertical="center" textRotation="90"/>
      <protection locked="0"/>
    </xf>
    <xf numFmtId="182" fontId="28" fillId="0" borderId="53" xfId="0" applyNumberFormat="1" applyFont="1" applyBorder="1" applyAlignment="1" applyProtection="1">
      <alignment vertical="center"/>
      <protection locked="0"/>
    </xf>
    <xf numFmtId="182" fontId="28" fillId="0" borderId="75" xfId="0" applyNumberFormat="1" applyFont="1" applyBorder="1" applyAlignment="1" applyProtection="1">
      <alignment vertical="center"/>
      <protection locked="0"/>
    </xf>
    <xf numFmtId="182" fontId="28" fillId="0" borderId="37" xfId="0" applyNumberFormat="1" applyFont="1" applyBorder="1" applyAlignment="1" applyProtection="1">
      <alignment vertical="center"/>
      <protection locked="0"/>
    </xf>
    <xf numFmtId="1" fontId="0" fillId="0" borderId="53" xfId="0" applyNumberFormat="1" applyBorder="1" applyAlignment="1" applyProtection="1">
      <alignment horizontal="center" vertical="center"/>
      <protection locked="0"/>
    </xf>
    <xf numFmtId="1" fontId="0" fillId="0" borderId="75" xfId="0" applyNumberForma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center" vertical="center"/>
      <protection locked="0"/>
    </xf>
    <xf numFmtId="1" fontId="0" fillId="0" borderId="68" xfId="0" applyNumberFormat="1" applyBorder="1" applyAlignment="1" applyProtection="1">
      <alignment horizontal="center" vertical="center"/>
      <protection locked="0"/>
    </xf>
    <xf numFmtId="1" fontId="0" fillId="0" borderId="91" xfId="0" applyNumberFormat="1" applyBorder="1" applyAlignment="1" applyProtection="1">
      <alignment horizontal="center" vertical="center"/>
      <protection locked="0"/>
    </xf>
    <xf numFmtId="1" fontId="0" fillId="0" borderId="45" xfId="0" applyNumberFormat="1" applyBorder="1" applyAlignment="1" applyProtection="1">
      <alignment horizontal="center" vertical="center"/>
      <protection locked="0"/>
    </xf>
    <xf numFmtId="49" fontId="28" fillId="0" borderId="92" xfId="0" applyNumberFormat="1" applyFont="1" applyBorder="1" applyAlignment="1" applyProtection="1">
      <alignment horizontal="center" vertical="center"/>
      <protection locked="0"/>
    </xf>
    <xf numFmtId="49" fontId="28" fillId="0" borderId="93" xfId="0" applyNumberFormat="1" applyFont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1" fontId="0" fillId="0" borderId="28" xfId="0" applyNumberFormat="1" applyBorder="1" applyAlignment="1" applyProtection="1">
      <alignment horizontal="right" vertical="center"/>
      <protection locked="0"/>
    </xf>
    <xf numFmtId="1" fontId="0" fillId="0" borderId="30" xfId="0" applyNumberFormat="1" applyBorder="1" applyAlignment="1" applyProtection="1">
      <alignment horizontal="right" vertical="center"/>
      <protection locked="0"/>
    </xf>
    <xf numFmtId="1" fontId="0" fillId="0" borderId="52" xfId="0" applyNumberFormat="1" applyBorder="1" applyAlignment="1" applyProtection="1">
      <alignment horizontal="right" vertical="center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1" fontId="50" fillId="0" borderId="23" xfId="0" applyNumberFormat="1" applyFont="1" applyBorder="1" applyAlignment="1" applyProtection="1">
      <alignment horizontal="center" vertical="center" wrapText="1"/>
      <protection locked="0"/>
    </xf>
    <xf numFmtId="1" fontId="50" fillId="0" borderId="25" xfId="0" applyNumberFormat="1" applyFont="1" applyBorder="1" applyAlignment="1" applyProtection="1">
      <alignment horizontal="center" vertical="center" wrapText="1"/>
      <protection locked="0"/>
    </xf>
    <xf numFmtId="182" fontId="0" fillId="0" borderId="61" xfId="0" applyNumberFormat="1" applyBorder="1" applyAlignment="1" applyProtection="1">
      <alignment horizontal="left" vertical="center"/>
      <protection locked="0"/>
    </xf>
    <xf numFmtId="182" fontId="0" fillId="0" borderId="62" xfId="0" applyNumberFormat="1" applyBorder="1" applyAlignment="1" applyProtection="1">
      <alignment horizontal="left" vertical="center"/>
      <protection locked="0"/>
    </xf>
    <xf numFmtId="182" fontId="0" fillId="0" borderId="32" xfId="0" applyNumberForma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1" fontId="11" fillId="0" borderId="23" xfId="0" applyNumberFormat="1" applyFont="1" applyBorder="1" applyAlignment="1" applyProtection="1">
      <alignment horizontal="center" vertical="center" wrapText="1"/>
      <protection locked="0"/>
    </xf>
    <xf numFmtId="1" fontId="11" fillId="0" borderId="25" xfId="0" applyNumberFormat="1" applyFont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/>
      <protection locked="0"/>
    </xf>
    <xf numFmtId="1" fontId="50" fillId="0" borderId="24" xfId="0" applyNumberFormat="1" applyFont="1" applyBorder="1" applyAlignment="1" applyProtection="1">
      <alignment horizontal="center" vertical="center" wrapText="1"/>
      <protection locked="0"/>
    </xf>
    <xf numFmtId="4" fontId="28" fillId="0" borderId="53" xfId="0" applyNumberFormat="1" applyFont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14" fontId="28" fillId="0" borderId="18" xfId="0" applyNumberFormat="1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>
      <alignment horizontal="center"/>
    </xf>
    <xf numFmtId="182" fontId="0" fillId="0" borderId="71" xfId="0" applyNumberFormat="1" applyBorder="1" applyAlignment="1" applyProtection="1">
      <alignment horizontal="center"/>
      <protection locked="0"/>
    </xf>
    <xf numFmtId="182" fontId="0" fillId="0" borderId="73" xfId="0" applyNumberFormat="1" applyBorder="1" applyAlignment="1" applyProtection="1">
      <alignment horizontal="center"/>
      <protection locked="0"/>
    </xf>
    <xf numFmtId="182" fontId="0" fillId="0" borderId="78" xfId="0" applyNumberFormat="1" applyBorder="1" applyAlignment="1" applyProtection="1">
      <alignment horizontal="center"/>
      <protection locked="0"/>
    </xf>
    <xf numFmtId="182" fontId="0" fillId="0" borderId="94" xfId="0" applyNumberForma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3">
    <dxf>
      <font>
        <color indexed="9"/>
      </font>
    </dxf>
    <dxf>
      <font>
        <b val="0"/>
        <i val="0"/>
        <color indexed="12"/>
      </font>
    </dxf>
    <dxf>
      <font>
        <color indexed="10"/>
      </font>
    </dxf>
    <dxf>
      <font>
        <b val="0"/>
        <i val="0"/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hyperlink" Target="http://creativecommons.org/licenses/by/2.5/pl/" TargetMode="External" /><Relationship Id="rId3" Type="http://schemas.openxmlformats.org/officeDocument/2006/relationships/hyperlink" Target="http://creativecommons.org/licenses/by/2.5/pl/" TargetMode="External" /><Relationship Id="rId4" Type="http://schemas.openxmlformats.org/officeDocument/2006/relationships/hyperlink" Target="http://creativecommons.org/licenses/by/2.5/pl/" TargetMode="External" /><Relationship Id="rId5" Type="http://schemas.openxmlformats.org/officeDocument/2006/relationships/hyperlink" Target="http://creativecommons.org/licenses/by/2.5/pl/" TargetMode="External" /><Relationship Id="rId6" Type="http://schemas.openxmlformats.org/officeDocument/2006/relationships/hyperlink" Target="http://creativecommons.org/licenses/by/2.5/pl/" TargetMode="Externa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573"/>
  <sheetViews>
    <sheetView tabSelected="1" zoomScalePageLayoutView="0" workbookViewId="0" topLeftCell="AI1">
      <selection activeCell="AN10" sqref="AN10"/>
    </sheetView>
  </sheetViews>
  <sheetFormatPr defaultColWidth="9.140625" defaultRowHeight="12.75" zeroHeight="1"/>
  <cols>
    <col min="1" max="1" width="10.421875" style="0" bestFit="1" customWidth="1"/>
    <col min="2" max="2" width="18.421875" style="0" bestFit="1" customWidth="1"/>
    <col min="3" max="3" width="22.140625" style="0" bestFit="1" customWidth="1"/>
    <col min="4" max="4" width="20.7109375" style="0" bestFit="1" customWidth="1"/>
    <col min="5" max="5" width="21.00390625" style="0" bestFit="1" customWidth="1"/>
    <col min="6" max="6" width="20.28125" style="0" bestFit="1" customWidth="1"/>
    <col min="7" max="7" width="24.421875" style="0" bestFit="1" customWidth="1"/>
    <col min="8" max="8" width="20.8515625" style="0" bestFit="1" customWidth="1"/>
    <col min="9" max="9" width="9.57421875" style="0" bestFit="1" customWidth="1"/>
    <col min="10" max="10" width="20.28125" style="0" bestFit="1" customWidth="1"/>
    <col min="11" max="11" width="20.57421875" style="0" bestFit="1" customWidth="1"/>
    <col min="12" max="12" width="17.57421875" style="0" bestFit="1" customWidth="1"/>
    <col min="13" max="13" width="21.421875" style="0" bestFit="1" customWidth="1"/>
    <col min="14" max="14" width="18.57421875" style="0" bestFit="1" customWidth="1"/>
    <col min="15" max="15" width="17.8515625" style="0" bestFit="1" customWidth="1"/>
    <col min="16" max="16" width="18.7109375" style="0" bestFit="1" customWidth="1"/>
    <col min="17" max="17" width="21.8515625" style="0" bestFit="1" customWidth="1"/>
    <col min="18" max="18" width="21.57421875" style="0" bestFit="1" customWidth="1"/>
    <col min="19" max="19" width="20.421875" style="0" bestFit="1" customWidth="1"/>
    <col min="20" max="20" width="19.8515625" style="0" bestFit="1" customWidth="1"/>
    <col min="21" max="21" width="17.28125" style="0" bestFit="1" customWidth="1"/>
    <col min="22" max="22" width="17.8515625" style="0" bestFit="1" customWidth="1"/>
    <col min="23" max="23" width="15.140625" style="0" bestFit="1" customWidth="1"/>
    <col min="24" max="24" width="14.140625" style="0" bestFit="1" customWidth="1"/>
    <col min="25" max="25" width="15.421875" style="0" bestFit="1" customWidth="1"/>
    <col min="26" max="26" width="23.8515625" style="0" bestFit="1" customWidth="1"/>
    <col min="27" max="27" width="20.421875" style="0" bestFit="1" customWidth="1"/>
    <col min="28" max="28" width="19.421875" style="0" bestFit="1" customWidth="1"/>
    <col min="29" max="29" width="23.8515625" style="0" bestFit="1" customWidth="1"/>
    <col min="30" max="30" width="15.00390625" style="0" bestFit="1" customWidth="1"/>
    <col min="31" max="31" width="18.140625" style="0" bestFit="1" customWidth="1"/>
    <col min="32" max="32" width="21.7109375" style="0" bestFit="1" customWidth="1"/>
    <col min="33" max="33" width="17.7109375" style="0" bestFit="1" customWidth="1"/>
    <col min="34" max="34" width="24.57421875" style="0" bestFit="1" customWidth="1"/>
    <col min="35" max="35" width="20.140625" style="0" bestFit="1" customWidth="1"/>
    <col min="36" max="36" width="30.7109375" style="0" bestFit="1" customWidth="1"/>
    <col min="37" max="37" width="25.8515625" style="0" bestFit="1" customWidth="1"/>
    <col min="38" max="38" width="15.57421875" style="0" bestFit="1" customWidth="1"/>
    <col min="39" max="40" width="18.140625" style="0" bestFit="1" customWidth="1"/>
  </cols>
  <sheetData>
    <row r="1" spans="1:40" s="466" customFormat="1" ht="15">
      <c r="A1" s="293" t="s">
        <v>14</v>
      </c>
      <c r="B1" s="294" t="s">
        <v>243</v>
      </c>
      <c r="C1" s="295" t="s">
        <v>123</v>
      </c>
      <c r="D1" s="294" t="s">
        <v>133</v>
      </c>
      <c r="E1" s="294" t="s">
        <v>244</v>
      </c>
      <c r="F1" s="294" t="s">
        <v>174</v>
      </c>
      <c r="G1" s="294" t="s">
        <v>245</v>
      </c>
      <c r="H1" s="294" t="s">
        <v>246</v>
      </c>
      <c r="I1" s="295" t="s">
        <v>125</v>
      </c>
      <c r="J1" s="294" t="s">
        <v>247</v>
      </c>
      <c r="K1" s="295" t="s">
        <v>189</v>
      </c>
      <c r="L1" s="294" t="s">
        <v>156</v>
      </c>
      <c r="M1" s="294" t="s">
        <v>248</v>
      </c>
      <c r="N1" s="294" t="s">
        <v>169</v>
      </c>
      <c r="O1" s="294" t="s">
        <v>249</v>
      </c>
      <c r="P1" s="294" t="s">
        <v>148</v>
      </c>
      <c r="Q1" s="294" t="s">
        <v>250</v>
      </c>
      <c r="R1" s="294" t="s">
        <v>251</v>
      </c>
      <c r="S1" s="294" t="s">
        <v>205</v>
      </c>
      <c r="T1" s="294" t="s">
        <v>252</v>
      </c>
      <c r="U1" s="294" t="s">
        <v>223</v>
      </c>
      <c r="V1" s="294" t="s">
        <v>253</v>
      </c>
      <c r="W1" s="294" t="s">
        <v>254</v>
      </c>
      <c r="X1" s="294" t="s">
        <v>255</v>
      </c>
      <c r="Y1" s="294" t="s">
        <v>256</v>
      </c>
      <c r="Z1" s="294" t="s">
        <v>257</v>
      </c>
      <c r="AA1" s="294" t="s">
        <v>258</v>
      </c>
      <c r="AB1" s="294" t="s">
        <v>259</v>
      </c>
      <c r="AC1" s="294" t="s">
        <v>260</v>
      </c>
      <c r="AD1" s="294" t="s">
        <v>261</v>
      </c>
      <c r="AE1" s="294" t="s">
        <v>262</v>
      </c>
      <c r="AF1" s="294" t="s">
        <v>263</v>
      </c>
      <c r="AG1" s="294" t="s">
        <v>264</v>
      </c>
      <c r="AH1" s="294" t="s">
        <v>265</v>
      </c>
      <c r="AI1" s="294" t="s">
        <v>266</v>
      </c>
      <c r="AJ1" s="294" t="s">
        <v>267</v>
      </c>
      <c r="AK1" s="294" t="s">
        <v>268</v>
      </c>
      <c r="AL1" s="294" t="s">
        <v>269</v>
      </c>
      <c r="AM1" s="296"/>
      <c r="AN1" s="466" t="s">
        <v>425</v>
      </c>
    </row>
    <row r="2" spans="1:39" s="466" customFormat="1" ht="15">
      <c r="A2" s="297"/>
      <c r="B2" s="298" t="s">
        <v>270</v>
      </c>
      <c r="C2" s="468" t="s">
        <v>271</v>
      </c>
      <c r="D2" s="298" t="s">
        <v>272</v>
      </c>
      <c r="E2" s="469" t="s">
        <v>273</v>
      </c>
      <c r="F2" s="298" t="s">
        <v>274</v>
      </c>
      <c r="G2" s="298" t="s">
        <v>275</v>
      </c>
      <c r="H2" s="298" t="s">
        <v>276</v>
      </c>
      <c r="I2" s="468" t="s">
        <v>277</v>
      </c>
      <c r="J2" s="298" t="s">
        <v>278</v>
      </c>
      <c r="K2" s="468" t="s">
        <v>279</v>
      </c>
      <c r="L2" s="298" t="s">
        <v>280</v>
      </c>
      <c r="M2" s="298" t="s">
        <v>281</v>
      </c>
      <c r="N2" s="298" t="s">
        <v>282</v>
      </c>
      <c r="O2" s="298" t="s">
        <v>283</v>
      </c>
      <c r="P2" s="298" t="s">
        <v>284</v>
      </c>
      <c r="Q2" s="298" t="s">
        <v>285</v>
      </c>
      <c r="R2" s="298" t="s">
        <v>286</v>
      </c>
      <c r="S2" s="298" t="s">
        <v>287</v>
      </c>
      <c r="T2" s="298" t="s">
        <v>288</v>
      </c>
      <c r="U2" s="298" t="s">
        <v>289</v>
      </c>
      <c r="V2" s="298" t="s">
        <v>290</v>
      </c>
      <c r="W2" s="298" t="s">
        <v>291</v>
      </c>
      <c r="X2" s="298" t="s">
        <v>292</v>
      </c>
      <c r="Y2" s="298" t="s">
        <v>293</v>
      </c>
      <c r="Z2" s="298" t="s">
        <v>294</v>
      </c>
      <c r="AA2" s="298" t="s">
        <v>295</v>
      </c>
      <c r="AB2" s="298" t="s">
        <v>296</v>
      </c>
      <c r="AC2" s="298" t="s">
        <v>297</v>
      </c>
      <c r="AD2" s="298" t="s">
        <v>298</v>
      </c>
      <c r="AE2" s="298" t="s">
        <v>299</v>
      </c>
      <c r="AF2" s="298" t="s">
        <v>300</v>
      </c>
      <c r="AG2" s="298" t="s">
        <v>301</v>
      </c>
      <c r="AH2" s="298" t="s">
        <v>302</v>
      </c>
      <c r="AI2" s="298" t="s">
        <v>303</v>
      </c>
      <c r="AJ2" s="298" t="s">
        <v>304</v>
      </c>
      <c r="AK2" s="298" t="s">
        <v>305</v>
      </c>
      <c r="AL2" s="299"/>
      <c r="AM2" s="300"/>
    </row>
    <row r="3" spans="1:39" ht="12.75">
      <c r="A3" s="297"/>
      <c r="B3" s="298">
        <v>1</v>
      </c>
      <c r="C3" s="468">
        <v>1</v>
      </c>
      <c r="D3" s="298">
        <v>1</v>
      </c>
      <c r="E3" s="469">
        <v>1</v>
      </c>
      <c r="F3" s="298">
        <v>1</v>
      </c>
      <c r="G3" s="298">
        <v>1</v>
      </c>
      <c r="H3" s="298">
        <v>1</v>
      </c>
      <c r="I3" s="468">
        <v>1</v>
      </c>
      <c r="J3" s="298">
        <v>100</v>
      </c>
      <c r="K3" s="468">
        <v>1</v>
      </c>
      <c r="L3" s="298">
        <v>1</v>
      </c>
      <c r="M3" s="298">
        <v>1</v>
      </c>
      <c r="N3" s="298">
        <v>100</v>
      </c>
      <c r="O3" s="298">
        <v>1</v>
      </c>
      <c r="P3" s="298">
        <v>1</v>
      </c>
      <c r="Q3" s="298">
        <v>1</v>
      </c>
      <c r="R3" s="298">
        <v>100</v>
      </c>
      <c r="S3" s="298">
        <v>1</v>
      </c>
      <c r="T3" s="298">
        <v>1</v>
      </c>
      <c r="U3" s="298">
        <v>1</v>
      </c>
      <c r="V3" s="298">
        <v>1</v>
      </c>
      <c r="W3" s="298">
        <v>1</v>
      </c>
      <c r="X3" s="298">
        <v>1</v>
      </c>
      <c r="Y3" s="298">
        <v>1</v>
      </c>
      <c r="Z3" s="298">
        <v>1</v>
      </c>
      <c r="AA3" s="298">
        <v>1</v>
      </c>
      <c r="AB3" s="298">
        <v>1</v>
      </c>
      <c r="AC3" s="298">
        <v>1</v>
      </c>
      <c r="AD3" s="298">
        <v>1</v>
      </c>
      <c r="AE3" s="298">
        <v>1</v>
      </c>
      <c r="AF3" s="298">
        <v>1</v>
      </c>
      <c r="AG3" s="298">
        <v>1</v>
      </c>
      <c r="AH3" s="298">
        <v>10000</v>
      </c>
      <c r="AI3" s="298">
        <v>100</v>
      </c>
      <c r="AJ3" s="298">
        <v>1</v>
      </c>
      <c r="AK3" s="298">
        <v>1</v>
      </c>
      <c r="AL3" s="298"/>
      <c r="AM3" s="300"/>
    </row>
    <row r="4" spans="1:39" ht="12.75">
      <c r="A4" s="441">
        <v>40546</v>
      </c>
      <c r="B4" s="301">
        <v>0.0992</v>
      </c>
      <c r="C4" s="301">
        <v>2.9822</v>
      </c>
      <c r="D4" s="301">
        <v>3.0406</v>
      </c>
      <c r="E4" s="301">
        <v>0.3833</v>
      </c>
      <c r="F4" s="301">
        <v>3.0008</v>
      </c>
      <c r="G4" s="301">
        <v>2.3188</v>
      </c>
      <c r="H4" s="301">
        <v>2.319</v>
      </c>
      <c r="I4" s="301">
        <v>3.9622</v>
      </c>
      <c r="J4" s="301">
        <v>1.4212</v>
      </c>
      <c r="K4" s="301">
        <v>3.179</v>
      </c>
      <c r="L4" s="301">
        <v>4.6075</v>
      </c>
      <c r="M4" s="301">
        <v>0.3718</v>
      </c>
      <c r="N4" s="301">
        <v>3.659</v>
      </c>
      <c r="O4" s="301">
        <v>0.1585</v>
      </c>
      <c r="P4" s="301">
        <v>0.5317</v>
      </c>
      <c r="R4" s="301">
        <v>2.5779</v>
      </c>
      <c r="S4" s="301">
        <v>0.5088</v>
      </c>
      <c r="U4" s="301">
        <v>0.4424</v>
      </c>
      <c r="V4" s="301">
        <v>0.5367</v>
      </c>
      <c r="W4" s="301">
        <v>0.9262</v>
      </c>
      <c r="X4" s="301">
        <v>2.0259</v>
      </c>
      <c r="Y4" s="301">
        <v>1.9183</v>
      </c>
      <c r="Z4" s="301">
        <v>1.1475</v>
      </c>
      <c r="AA4" s="301">
        <v>5.5861</v>
      </c>
      <c r="AB4" s="301">
        <v>0.0681</v>
      </c>
      <c r="AC4" s="301">
        <v>0.2401</v>
      </c>
      <c r="AD4" s="301">
        <v>0.4488</v>
      </c>
      <c r="AE4" s="301">
        <v>1.797</v>
      </c>
      <c r="AF4" s="301">
        <v>0.9732</v>
      </c>
      <c r="AG4" s="301">
        <v>0.0968</v>
      </c>
      <c r="AH4" s="301">
        <v>3.2943</v>
      </c>
      <c r="AI4" s="301">
        <v>0.2651</v>
      </c>
      <c r="AJ4" s="301">
        <v>0.4525</v>
      </c>
      <c r="AK4" s="301">
        <v>4.5948</v>
      </c>
      <c r="AL4" s="302">
        <v>1</v>
      </c>
      <c r="AM4" t="s">
        <v>411</v>
      </c>
    </row>
    <row r="5" spans="1:39" ht="12.75">
      <c r="A5" s="441">
        <v>40547</v>
      </c>
      <c r="B5" s="301">
        <v>0.098</v>
      </c>
      <c r="C5" s="301">
        <v>2.9415</v>
      </c>
      <c r="D5" s="301">
        <v>2.97</v>
      </c>
      <c r="E5" s="301">
        <v>0.3788</v>
      </c>
      <c r="F5" s="301">
        <v>2.9599</v>
      </c>
      <c r="G5" s="301">
        <v>2.2592</v>
      </c>
      <c r="H5" s="301">
        <v>2.2888</v>
      </c>
      <c r="I5" s="301">
        <v>3.9433</v>
      </c>
      <c r="J5" s="301">
        <v>1.427</v>
      </c>
      <c r="K5" s="301">
        <v>3.1235</v>
      </c>
      <c r="L5" s="301">
        <v>4.5975</v>
      </c>
      <c r="M5" s="301">
        <v>0.3701</v>
      </c>
      <c r="N5" s="301">
        <v>3.5843</v>
      </c>
      <c r="O5" s="301">
        <v>0.1583</v>
      </c>
      <c r="P5" s="301">
        <v>0.5291</v>
      </c>
      <c r="R5" s="301">
        <v>2.5673</v>
      </c>
      <c r="S5" s="301">
        <v>0.5037</v>
      </c>
      <c r="U5" s="301">
        <v>0.4399</v>
      </c>
      <c r="V5" s="301">
        <v>0.5337</v>
      </c>
      <c r="W5" s="301">
        <v>0.924</v>
      </c>
      <c r="X5" s="301">
        <v>2.0162</v>
      </c>
      <c r="Y5" s="301">
        <v>1.899</v>
      </c>
      <c r="Z5" s="301">
        <v>1.142</v>
      </c>
      <c r="AA5" s="301">
        <v>5.5586</v>
      </c>
      <c r="AB5" s="301">
        <v>0.0675</v>
      </c>
      <c r="AC5" s="301">
        <v>0.2407</v>
      </c>
      <c r="AD5" s="301">
        <v>0.4427</v>
      </c>
      <c r="AE5" s="301">
        <v>1.7864</v>
      </c>
      <c r="AF5" s="301">
        <v>0.9606</v>
      </c>
      <c r="AG5" s="301">
        <v>0.0964</v>
      </c>
      <c r="AH5" s="301">
        <v>3.2916</v>
      </c>
      <c r="AI5" s="301">
        <v>0.263</v>
      </c>
      <c r="AJ5" s="301">
        <v>0.4456</v>
      </c>
      <c r="AK5" s="301">
        <v>4.5667</v>
      </c>
      <c r="AL5" s="302">
        <v>2</v>
      </c>
      <c r="AM5" t="s">
        <v>411</v>
      </c>
    </row>
    <row r="6" spans="1:39" ht="12.75">
      <c r="A6" s="441">
        <v>40548</v>
      </c>
      <c r="B6" s="301">
        <v>0.0977</v>
      </c>
      <c r="C6" s="301">
        <v>2.9476</v>
      </c>
      <c r="D6" s="301">
        <v>2.9541</v>
      </c>
      <c r="E6" s="301">
        <v>0.3792</v>
      </c>
      <c r="F6" s="301">
        <v>2.949</v>
      </c>
      <c r="G6" s="301">
        <v>2.2577</v>
      </c>
      <c r="H6" s="301">
        <v>2.286</v>
      </c>
      <c r="I6" s="301">
        <v>3.9095</v>
      </c>
      <c r="J6" s="301">
        <v>1.4116</v>
      </c>
      <c r="K6" s="301">
        <v>3.0985</v>
      </c>
      <c r="L6" s="301">
        <v>4.5945</v>
      </c>
      <c r="M6" s="301">
        <v>0.37</v>
      </c>
      <c r="N6" s="301">
        <v>3.5928</v>
      </c>
      <c r="O6" s="301">
        <v>0.1573</v>
      </c>
      <c r="P6" s="301">
        <v>0.5246</v>
      </c>
      <c r="R6" s="301">
        <v>2.5436</v>
      </c>
      <c r="S6" s="301">
        <v>0.5003</v>
      </c>
      <c r="U6" s="301">
        <v>0.4373</v>
      </c>
      <c r="V6" s="301">
        <v>0.5284</v>
      </c>
      <c r="W6" s="301">
        <v>0.9161</v>
      </c>
      <c r="X6" s="301">
        <v>1.9989</v>
      </c>
      <c r="Y6" s="301">
        <v>1.9044</v>
      </c>
      <c r="Z6" s="301">
        <v>1.1323</v>
      </c>
      <c r="AA6" s="301">
        <v>5.5297</v>
      </c>
      <c r="AB6" s="301">
        <v>0.0673</v>
      </c>
      <c r="AC6" s="301">
        <v>0.2406</v>
      </c>
      <c r="AD6" s="301">
        <v>0.4379</v>
      </c>
      <c r="AE6" s="301">
        <v>1.7736</v>
      </c>
      <c r="AF6" s="301">
        <v>0.9608</v>
      </c>
      <c r="AG6" s="301">
        <v>0.0955</v>
      </c>
      <c r="AH6" s="301">
        <v>3.2688</v>
      </c>
      <c r="AI6" s="301">
        <v>0.2619</v>
      </c>
      <c r="AJ6" s="301">
        <v>0.4453</v>
      </c>
      <c r="AK6" s="301">
        <v>4.5046</v>
      </c>
      <c r="AL6" s="302">
        <v>3</v>
      </c>
      <c r="AM6" t="s">
        <v>411</v>
      </c>
    </row>
    <row r="7" spans="1:39" ht="12.75">
      <c r="A7" s="441">
        <v>40550</v>
      </c>
      <c r="B7" s="301">
        <v>0.0982</v>
      </c>
      <c r="C7" s="301">
        <v>2.9818</v>
      </c>
      <c r="D7" s="301">
        <v>2.9575</v>
      </c>
      <c r="E7" s="301">
        <v>0.3835</v>
      </c>
      <c r="F7" s="301">
        <v>2.9808</v>
      </c>
      <c r="G7" s="301">
        <v>2.2582</v>
      </c>
      <c r="H7" s="301">
        <v>2.2967</v>
      </c>
      <c r="I7" s="301">
        <v>3.873</v>
      </c>
      <c r="J7" s="301">
        <v>1.3976</v>
      </c>
      <c r="K7" s="301">
        <v>3.0948</v>
      </c>
      <c r="L7" s="301">
        <v>4.6082</v>
      </c>
      <c r="M7" s="301">
        <v>0.3707</v>
      </c>
      <c r="N7" s="301">
        <v>3.5704</v>
      </c>
      <c r="O7" s="301">
        <v>0.157</v>
      </c>
      <c r="P7" s="301">
        <v>0.5198</v>
      </c>
      <c r="R7" s="301">
        <v>2.5356</v>
      </c>
      <c r="S7" s="301">
        <v>0.5007</v>
      </c>
      <c r="U7" s="301">
        <v>0.4341</v>
      </c>
      <c r="V7" s="301">
        <v>0.523</v>
      </c>
      <c r="W7" s="301">
        <v>0.9096</v>
      </c>
      <c r="X7" s="301">
        <v>1.9803</v>
      </c>
      <c r="Y7" s="301">
        <v>1.9096</v>
      </c>
      <c r="Z7" s="301">
        <v>1.1217</v>
      </c>
      <c r="AA7" s="301">
        <v>5.5269</v>
      </c>
      <c r="AB7" s="301">
        <v>0.0674</v>
      </c>
      <c r="AC7" s="301">
        <v>0.2437</v>
      </c>
      <c r="AD7" s="301">
        <v>0.437</v>
      </c>
      <c r="AE7" s="301">
        <v>1.7677</v>
      </c>
      <c r="AF7" s="301">
        <v>0.9713</v>
      </c>
      <c r="AG7" s="301">
        <v>0.0962</v>
      </c>
      <c r="AH7" s="301">
        <v>3.3087</v>
      </c>
      <c r="AI7" s="301">
        <v>0.2649</v>
      </c>
      <c r="AJ7" s="301">
        <v>0.4498</v>
      </c>
      <c r="AK7" s="301">
        <v>4.5316</v>
      </c>
      <c r="AL7" s="302">
        <v>4</v>
      </c>
      <c r="AM7" t="s">
        <v>411</v>
      </c>
    </row>
    <row r="8" spans="1:39" ht="12.75">
      <c r="A8" s="441">
        <v>40553</v>
      </c>
      <c r="B8" s="301">
        <v>0.0985</v>
      </c>
      <c r="C8" s="301">
        <v>3.0268</v>
      </c>
      <c r="D8" s="301">
        <v>2.9972</v>
      </c>
      <c r="E8" s="301">
        <v>0.3895</v>
      </c>
      <c r="F8" s="301">
        <v>3.0371</v>
      </c>
      <c r="G8" s="301">
        <v>2.2932</v>
      </c>
      <c r="H8" s="301">
        <v>2.3271</v>
      </c>
      <c r="I8" s="301">
        <v>3.9082</v>
      </c>
      <c r="J8" s="301">
        <v>1.3988</v>
      </c>
      <c r="K8" s="301">
        <v>3.1348</v>
      </c>
      <c r="L8" s="301">
        <v>4.6934</v>
      </c>
      <c r="M8" s="301">
        <v>0.3801</v>
      </c>
      <c r="N8" s="301">
        <v>3.6379</v>
      </c>
      <c r="O8" s="301">
        <v>0.1587</v>
      </c>
      <c r="P8" s="301">
        <v>0.5246</v>
      </c>
      <c r="R8" s="301">
        <v>2.5628</v>
      </c>
      <c r="S8" s="301">
        <v>0.5066</v>
      </c>
      <c r="U8" s="301">
        <v>0.4377</v>
      </c>
      <c r="V8" s="301">
        <v>0.5281</v>
      </c>
      <c r="W8" s="301">
        <v>0.9163</v>
      </c>
      <c r="X8" s="301">
        <v>1.9983</v>
      </c>
      <c r="Y8" s="301">
        <v>1.9104</v>
      </c>
      <c r="Z8" s="301">
        <v>1.1319</v>
      </c>
      <c r="AA8" s="301">
        <v>5.5792</v>
      </c>
      <c r="AB8" s="301">
        <v>0.0681</v>
      </c>
      <c r="AC8" s="301">
        <v>0.247</v>
      </c>
      <c r="AD8" s="301">
        <v>0.4419</v>
      </c>
      <c r="AE8" s="301">
        <v>1.7991</v>
      </c>
      <c r="AF8" s="301">
        <v>0.9825</v>
      </c>
      <c r="AG8" s="301">
        <v>0.0971</v>
      </c>
      <c r="AH8" s="301">
        <v>3.3403</v>
      </c>
      <c r="AI8" s="301">
        <v>0.2688</v>
      </c>
      <c r="AJ8" s="301">
        <v>0.456</v>
      </c>
      <c r="AK8" s="301">
        <v>4.5983</v>
      </c>
      <c r="AL8" s="302">
        <v>5</v>
      </c>
      <c r="AM8" t="s">
        <v>411</v>
      </c>
    </row>
    <row r="9" spans="1:39" ht="12.75">
      <c r="A9" s="441">
        <v>40554</v>
      </c>
      <c r="B9" s="301">
        <v>0.0984</v>
      </c>
      <c r="C9" s="301">
        <v>3.0065</v>
      </c>
      <c r="D9" s="301">
        <v>2.9561</v>
      </c>
      <c r="E9" s="301">
        <v>0.3865</v>
      </c>
      <c r="F9" s="301">
        <v>3.0282</v>
      </c>
      <c r="G9" s="301">
        <v>2.2757</v>
      </c>
      <c r="H9" s="301">
        <v>2.3188</v>
      </c>
      <c r="I9" s="301">
        <v>3.8858</v>
      </c>
      <c r="J9" s="301">
        <v>1.3943</v>
      </c>
      <c r="K9" s="301">
        <v>3.0981</v>
      </c>
      <c r="L9" s="301">
        <v>4.6687</v>
      </c>
      <c r="M9" s="301">
        <v>0.3768</v>
      </c>
      <c r="N9" s="301">
        <v>3.6155</v>
      </c>
      <c r="O9" s="301">
        <v>0.1585</v>
      </c>
      <c r="P9" s="301">
        <v>0.5217</v>
      </c>
      <c r="R9" s="301">
        <v>2.5364</v>
      </c>
      <c r="S9" s="301">
        <v>0.5031</v>
      </c>
      <c r="U9" s="301">
        <v>0.4368</v>
      </c>
      <c r="V9" s="301">
        <v>0.5249</v>
      </c>
      <c r="W9" s="301">
        <v>0.9125</v>
      </c>
      <c r="X9" s="301">
        <v>1.9868</v>
      </c>
      <c r="Y9" s="301">
        <v>1.9025</v>
      </c>
      <c r="Z9" s="301">
        <v>1.1254</v>
      </c>
      <c r="AA9" s="301">
        <v>5.5452</v>
      </c>
      <c r="AB9" s="301">
        <v>0.0681</v>
      </c>
      <c r="AC9" s="301">
        <v>0.2459</v>
      </c>
      <c r="AD9" s="301">
        <v>0.439</v>
      </c>
      <c r="AE9" s="301">
        <v>1.7812</v>
      </c>
      <c r="AF9" s="301">
        <v>0.9789</v>
      </c>
      <c r="AG9" s="301">
        <v>0.0981</v>
      </c>
      <c r="AH9" s="301">
        <v>3.3071</v>
      </c>
      <c r="AI9" s="301">
        <v>0.2674</v>
      </c>
      <c r="AJ9" s="301">
        <v>0.4541</v>
      </c>
      <c r="AK9" s="301">
        <v>4.5885</v>
      </c>
      <c r="AL9" s="302">
        <v>6</v>
      </c>
      <c r="AM9" t="s">
        <v>411</v>
      </c>
    </row>
    <row r="10" spans="1:39" ht="12.75">
      <c r="A10" s="441">
        <v>40555</v>
      </c>
      <c r="B10" s="301">
        <v>0.0971</v>
      </c>
      <c r="C10" s="301">
        <v>2.9466</v>
      </c>
      <c r="D10" s="301">
        <v>2.9233</v>
      </c>
      <c r="E10" s="301">
        <v>0.3791</v>
      </c>
      <c r="F10" s="301">
        <v>2.9848</v>
      </c>
      <c r="G10" s="301">
        <v>2.2436</v>
      </c>
      <c r="H10" s="301">
        <v>2.2844</v>
      </c>
      <c r="I10" s="301">
        <v>3.8403</v>
      </c>
      <c r="J10" s="301">
        <v>1.3914</v>
      </c>
      <c r="K10" s="301">
        <v>3.0319</v>
      </c>
      <c r="L10" s="301">
        <v>4.613</v>
      </c>
      <c r="M10" s="301">
        <v>0.3695</v>
      </c>
      <c r="N10" s="301">
        <v>3.5478</v>
      </c>
      <c r="O10" s="301">
        <v>0.1573</v>
      </c>
      <c r="P10" s="301">
        <v>0.5155</v>
      </c>
      <c r="R10" s="301">
        <v>2.4905</v>
      </c>
      <c r="S10" s="301">
        <v>0.4973</v>
      </c>
      <c r="U10" s="301">
        <v>0.4334</v>
      </c>
      <c r="V10" s="301">
        <v>0.519</v>
      </c>
      <c r="W10" s="301">
        <v>0.9033</v>
      </c>
      <c r="X10" s="301">
        <v>1.9635</v>
      </c>
      <c r="Y10" s="301">
        <v>1.8807</v>
      </c>
      <c r="Z10" s="301">
        <v>1.1122</v>
      </c>
      <c r="AA10" s="301">
        <v>5.4783</v>
      </c>
      <c r="AB10" s="301">
        <v>0.067</v>
      </c>
      <c r="AC10" s="301">
        <v>0.2438</v>
      </c>
      <c r="AD10" s="301">
        <v>0.4309</v>
      </c>
      <c r="AE10" s="301">
        <v>1.7503</v>
      </c>
      <c r="AF10" s="301">
        <v>0.962</v>
      </c>
      <c r="AG10" s="301">
        <v>0.0971</v>
      </c>
      <c r="AH10" s="301">
        <v>3.2676</v>
      </c>
      <c r="AI10" s="301">
        <v>0.2642</v>
      </c>
      <c r="AJ10" s="301">
        <v>0.4462</v>
      </c>
      <c r="AK10" s="301">
        <v>4.5284</v>
      </c>
      <c r="AL10" s="302">
        <v>7</v>
      </c>
      <c r="AM10" t="s">
        <v>411</v>
      </c>
    </row>
    <row r="11" spans="1:39" ht="12.75">
      <c r="A11" s="441">
        <v>40556</v>
      </c>
      <c r="B11" s="301">
        <v>0.0965</v>
      </c>
      <c r="C11" s="301">
        <v>2.9353</v>
      </c>
      <c r="D11" s="301">
        <v>2.9254</v>
      </c>
      <c r="E11" s="301">
        <v>0.3775</v>
      </c>
      <c r="F11" s="301">
        <v>2.9717</v>
      </c>
      <c r="G11" s="301">
        <v>2.2512</v>
      </c>
      <c r="H11" s="301">
        <v>2.2791</v>
      </c>
      <c r="I11" s="301">
        <v>3.8613</v>
      </c>
      <c r="J11" s="301">
        <v>1.403</v>
      </c>
      <c r="K11" s="301">
        <v>3.0159</v>
      </c>
      <c r="L11" s="301">
        <v>4.6215</v>
      </c>
      <c r="M11" s="301">
        <v>0.3681</v>
      </c>
      <c r="N11" s="301">
        <v>3.537</v>
      </c>
      <c r="O11" s="301">
        <v>0.1582</v>
      </c>
      <c r="P11" s="301">
        <v>0.5183</v>
      </c>
      <c r="R11" s="301">
        <v>2.4992</v>
      </c>
      <c r="S11" s="301">
        <v>0.4966</v>
      </c>
      <c r="U11" s="301">
        <v>0.4344</v>
      </c>
      <c r="V11" s="301">
        <v>0.5216</v>
      </c>
      <c r="W11" s="301">
        <v>0.9072</v>
      </c>
      <c r="X11" s="301">
        <v>1.9743</v>
      </c>
      <c r="Y11" s="301">
        <v>1.8808</v>
      </c>
      <c r="Z11" s="301">
        <v>1.1183</v>
      </c>
      <c r="AA11" s="301">
        <v>5.5106</v>
      </c>
      <c r="AB11" s="301">
        <v>0.0664</v>
      </c>
      <c r="AC11" s="301">
        <v>0.243</v>
      </c>
      <c r="AD11" s="301">
        <v>0.4289</v>
      </c>
      <c r="AE11" s="301">
        <v>1.7545</v>
      </c>
      <c r="AF11" s="301">
        <v>0.9613</v>
      </c>
      <c r="AG11" s="301">
        <v>0.0975</v>
      </c>
      <c r="AH11" s="301">
        <v>3.2681</v>
      </c>
      <c r="AI11" s="301">
        <v>0.264</v>
      </c>
      <c r="AJ11" s="301">
        <v>0.4443</v>
      </c>
      <c r="AK11" s="301">
        <v>4.5452</v>
      </c>
      <c r="AL11" s="302">
        <v>8</v>
      </c>
      <c r="AM11" t="s">
        <v>411</v>
      </c>
    </row>
    <row r="12" spans="1:39" ht="12.75">
      <c r="A12" s="441">
        <v>40557</v>
      </c>
      <c r="B12" s="301">
        <v>0.0954</v>
      </c>
      <c r="C12" s="301">
        <v>2.9048</v>
      </c>
      <c r="D12" s="301">
        <v>2.8799</v>
      </c>
      <c r="E12" s="301">
        <v>0.3735</v>
      </c>
      <c r="F12" s="301">
        <v>2.9222</v>
      </c>
      <c r="G12" s="301">
        <v>2.2246</v>
      </c>
      <c r="H12" s="301">
        <v>2.2509</v>
      </c>
      <c r="I12" s="301">
        <v>3.8833</v>
      </c>
      <c r="J12" s="301">
        <v>1.4077</v>
      </c>
      <c r="K12" s="301">
        <v>3.0158</v>
      </c>
      <c r="L12" s="301">
        <v>4.6005</v>
      </c>
      <c r="M12" s="301">
        <v>0.3651</v>
      </c>
      <c r="N12" s="301">
        <v>3.5065</v>
      </c>
      <c r="O12" s="301">
        <v>0.159</v>
      </c>
      <c r="P12" s="301">
        <v>0.5213</v>
      </c>
      <c r="R12" s="301">
        <v>2.4973</v>
      </c>
      <c r="S12" s="301">
        <v>0.4948</v>
      </c>
      <c r="U12" s="301">
        <v>0.4331</v>
      </c>
      <c r="V12" s="301">
        <v>0.5249</v>
      </c>
      <c r="W12" s="301">
        <v>0.91</v>
      </c>
      <c r="X12" s="301">
        <v>1.9855</v>
      </c>
      <c r="Y12" s="301">
        <v>1.8736</v>
      </c>
      <c r="Z12" s="301">
        <v>1.1247</v>
      </c>
      <c r="AA12" s="301">
        <v>5.5314</v>
      </c>
      <c r="AB12" s="301">
        <v>0.0656</v>
      </c>
      <c r="AC12" s="301">
        <v>0.2397</v>
      </c>
      <c r="AD12" s="301">
        <v>0.4228</v>
      </c>
      <c r="AE12" s="301">
        <v>1.7366</v>
      </c>
      <c r="AF12" s="301">
        <v>0.9495</v>
      </c>
      <c r="AG12" s="301">
        <v>0.0968</v>
      </c>
      <c r="AH12" s="301">
        <v>3.212</v>
      </c>
      <c r="AI12" s="301">
        <v>0.2601</v>
      </c>
      <c r="AJ12" s="301">
        <v>0.4408</v>
      </c>
      <c r="AK12" s="301">
        <v>4.5219</v>
      </c>
      <c r="AL12" s="302">
        <v>9</v>
      </c>
      <c r="AM12" t="s">
        <v>411</v>
      </c>
    </row>
    <row r="13" spans="1:39" ht="12.75">
      <c r="A13" s="441">
        <v>40560</v>
      </c>
      <c r="B13" s="301">
        <v>0.0954</v>
      </c>
      <c r="C13" s="301">
        <v>2.9181</v>
      </c>
      <c r="D13" s="301">
        <v>2.8911</v>
      </c>
      <c r="E13" s="301">
        <v>0.3751</v>
      </c>
      <c r="F13" s="301">
        <v>2.9531</v>
      </c>
      <c r="G13" s="301">
        <v>2.2462</v>
      </c>
      <c r="H13" s="301">
        <v>2.2597</v>
      </c>
      <c r="I13" s="301">
        <v>3.8692</v>
      </c>
      <c r="J13" s="301">
        <v>1.4046</v>
      </c>
      <c r="K13" s="301">
        <v>3.0167</v>
      </c>
      <c r="L13" s="301">
        <v>4.6321</v>
      </c>
      <c r="M13" s="301">
        <v>0.3669</v>
      </c>
      <c r="N13" s="301">
        <v>3.5242</v>
      </c>
      <c r="O13" s="301">
        <v>0.1588</v>
      </c>
      <c r="P13" s="301">
        <v>0.5194</v>
      </c>
      <c r="R13" s="301">
        <v>2.4926</v>
      </c>
      <c r="S13" s="301">
        <v>0.4965</v>
      </c>
      <c r="U13" s="301">
        <v>0.4337</v>
      </c>
      <c r="V13" s="301">
        <v>0.5232</v>
      </c>
      <c r="W13" s="301">
        <v>0.9086</v>
      </c>
      <c r="X13" s="301">
        <v>1.9783</v>
      </c>
      <c r="Y13" s="301">
        <v>1.8769</v>
      </c>
      <c r="Z13" s="301">
        <v>1.1206</v>
      </c>
      <c r="AA13" s="301">
        <v>5.5133</v>
      </c>
      <c r="AB13" s="301">
        <v>0.0656</v>
      </c>
      <c r="AC13" s="301">
        <v>0.2426</v>
      </c>
      <c r="AD13" s="301">
        <v>0.4212</v>
      </c>
      <c r="AE13" s="301">
        <v>1.7304</v>
      </c>
      <c r="AF13" s="301">
        <v>0.9539</v>
      </c>
      <c r="AG13" s="301">
        <v>0.0971</v>
      </c>
      <c r="AH13" s="301">
        <v>3.195</v>
      </c>
      <c r="AI13" s="301">
        <v>0.2611</v>
      </c>
      <c r="AJ13" s="301">
        <v>0.4424</v>
      </c>
      <c r="AK13" s="301">
        <v>4.4841</v>
      </c>
      <c r="AL13" s="302">
        <v>10</v>
      </c>
      <c r="AM13" t="s">
        <v>411</v>
      </c>
    </row>
    <row r="14" spans="1:39" ht="12.75">
      <c r="A14" s="441">
        <v>40561</v>
      </c>
      <c r="B14" s="301">
        <v>0.0945</v>
      </c>
      <c r="C14" s="301">
        <v>2.8848</v>
      </c>
      <c r="D14" s="301">
        <v>2.8805</v>
      </c>
      <c r="E14" s="301">
        <v>0.3703</v>
      </c>
      <c r="F14" s="301">
        <v>2.9273</v>
      </c>
      <c r="G14" s="301">
        <v>2.2303</v>
      </c>
      <c r="H14" s="301">
        <v>2.2469</v>
      </c>
      <c r="I14" s="301">
        <v>3.8656</v>
      </c>
      <c r="J14" s="301">
        <v>1.4184</v>
      </c>
      <c r="K14" s="301">
        <v>3.006</v>
      </c>
      <c r="L14" s="301">
        <v>4.6228</v>
      </c>
      <c r="M14" s="301">
        <v>0.3642</v>
      </c>
      <c r="N14" s="301">
        <v>3.4932</v>
      </c>
      <c r="O14" s="301">
        <v>0.1595</v>
      </c>
      <c r="P14" s="301">
        <v>0.5188</v>
      </c>
      <c r="R14" s="301">
        <v>2.4599</v>
      </c>
      <c r="S14" s="301">
        <v>0.4944</v>
      </c>
      <c r="U14" s="301">
        <v>0.4332</v>
      </c>
      <c r="V14" s="301">
        <v>0.5229</v>
      </c>
      <c r="W14" s="301">
        <v>0.9086</v>
      </c>
      <c r="X14" s="301">
        <v>1.9764</v>
      </c>
      <c r="Y14" s="301">
        <v>1.8774</v>
      </c>
      <c r="Z14" s="301">
        <v>1.1195</v>
      </c>
      <c r="AA14" s="301">
        <v>5.5026</v>
      </c>
      <c r="AB14" s="301">
        <v>0.0648</v>
      </c>
      <c r="AC14" s="301">
        <v>0.241</v>
      </c>
      <c r="AD14" s="301">
        <v>0.421</v>
      </c>
      <c r="AE14" s="301">
        <v>1.7162</v>
      </c>
      <c r="AF14" s="301">
        <v>0.9434</v>
      </c>
      <c r="AG14" s="301">
        <v>0.0965</v>
      </c>
      <c r="AH14" s="301">
        <v>3.2086</v>
      </c>
      <c r="AI14" s="301">
        <v>0.2595</v>
      </c>
      <c r="AJ14" s="301">
        <v>0.4381</v>
      </c>
      <c r="AK14" s="301">
        <v>4.4799</v>
      </c>
      <c r="AL14" s="302">
        <v>11</v>
      </c>
      <c r="AM14" t="s">
        <v>411</v>
      </c>
    </row>
    <row r="15" spans="1:39" ht="12.75">
      <c r="A15" s="441">
        <v>40562</v>
      </c>
      <c r="B15" s="301">
        <v>0.0948</v>
      </c>
      <c r="C15" s="301">
        <v>2.8879</v>
      </c>
      <c r="D15" s="301">
        <v>2.9013</v>
      </c>
      <c r="E15" s="301">
        <v>0.3713</v>
      </c>
      <c r="F15" s="301">
        <v>2.9089</v>
      </c>
      <c r="G15" s="301">
        <v>2.2396</v>
      </c>
      <c r="H15" s="301">
        <v>2.2531</v>
      </c>
      <c r="I15" s="301">
        <v>3.886</v>
      </c>
      <c r="J15" s="301">
        <v>1.4261</v>
      </c>
      <c r="K15" s="301">
        <v>3.0128</v>
      </c>
      <c r="L15" s="301">
        <v>4.6147</v>
      </c>
      <c r="M15" s="301">
        <v>0.3629</v>
      </c>
      <c r="N15" s="301">
        <v>3.5118</v>
      </c>
      <c r="O15" s="301">
        <v>0.1599</v>
      </c>
      <c r="P15" s="301">
        <v>0.5216</v>
      </c>
      <c r="R15" s="301">
        <v>2.4641</v>
      </c>
      <c r="S15" s="301">
        <v>0.4956</v>
      </c>
      <c r="U15" s="301">
        <v>0.4354</v>
      </c>
      <c r="V15" s="301">
        <v>0.5258</v>
      </c>
      <c r="W15" s="301">
        <v>0.9122</v>
      </c>
      <c r="X15" s="301">
        <v>1.9869</v>
      </c>
      <c r="Y15" s="301">
        <v>1.8768</v>
      </c>
      <c r="Z15" s="301">
        <v>1.1254</v>
      </c>
      <c r="AA15" s="301">
        <v>5.5301</v>
      </c>
      <c r="AB15" s="301">
        <v>0.0652</v>
      </c>
      <c r="AC15" s="301">
        <v>0.24</v>
      </c>
      <c r="AD15" s="301">
        <v>0.417</v>
      </c>
      <c r="AE15" s="301">
        <v>1.7247</v>
      </c>
      <c r="AF15" s="301">
        <v>0.9459</v>
      </c>
      <c r="AG15" s="301">
        <v>0.0967</v>
      </c>
      <c r="AH15" s="301">
        <v>3.201</v>
      </c>
      <c r="AI15" s="301">
        <v>0.2599</v>
      </c>
      <c r="AJ15" s="301">
        <v>0.4386</v>
      </c>
      <c r="AK15" s="301">
        <v>4.5071</v>
      </c>
      <c r="AL15" s="302">
        <v>12</v>
      </c>
      <c r="AM15" t="s">
        <v>411</v>
      </c>
    </row>
    <row r="16" spans="1:39" ht="12.75">
      <c r="A16" s="441">
        <v>40563</v>
      </c>
      <c r="B16" s="301">
        <v>0.0944</v>
      </c>
      <c r="C16" s="301">
        <v>2.8856</v>
      </c>
      <c r="D16" s="301">
        <v>2.8749</v>
      </c>
      <c r="E16" s="301">
        <v>0.3708</v>
      </c>
      <c r="F16" s="301">
        <v>2.8935</v>
      </c>
      <c r="G16" s="301">
        <v>2.2063</v>
      </c>
      <c r="H16" s="301">
        <v>2.2436</v>
      </c>
      <c r="I16" s="301">
        <v>3.8929</v>
      </c>
      <c r="J16" s="301">
        <v>1.4256</v>
      </c>
      <c r="K16" s="301">
        <v>3.0246</v>
      </c>
      <c r="L16" s="301">
        <v>4.6135</v>
      </c>
      <c r="M16" s="301">
        <v>0.3637</v>
      </c>
      <c r="N16" s="301">
        <v>3.513</v>
      </c>
      <c r="O16" s="301">
        <v>0.1602</v>
      </c>
      <c r="P16" s="301">
        <v>0.5224</v>
      </c>
      <c r="R16" s="301">
        <v>2.4646</v>
      </c>
      <c r="S16" s="301">
        <v>0.4938</v>
      </c>
      <c r="U16" s="301">
        <v>0.4348</v>
      </c>
      <c r="V16" s="301">
        <v>0.5267</v>
      </c>
      <c r="W16" s="301">
        <v>0.9124</v>
      </c>
      <c r="X16" s="301">
        <v>1.9903</v>
      </c>
      <c r="Y16" s="301">
        <v>1.8555</v>
      </c>
      <c r="Z16" s="301">
        <v>1.1274</v>
      </c>
      <c r="AA16" s="301">
        <v>5.5297</v>
      </c>
      <c r="AB16" s="301">
        <v>0.0648</v>
      </c>
      <c r="AC16" s="301">
        <v>0.2385</v>
      </c>
      <c r="AD16" s="301">
        <v>0.4106</v>
      </c>
      <c r="AE16" s="301">
        <v>1.7262</v>
      </c>
      <c r="AF16" s="301">
        <v>0.9453</v>
      </c>
      <c r="AG16" s="301">
        <v>0.0964</v>
      </c>
      <c r="AH16" s="301">
        <v>3.1929</v>
      </c>
      <c r="AI16" s="301">
        <v>0.2576</v>
      </c>
      <c r="AJ16" s="301">
        <v>0.4381</v>
      </c>
      <c r="AK16" s="301">
        <v>4.4791</v>
      </c>
      <c r="AL16" s="302">
        <v>13</v>
      </c>
      <c r="AM16" t="s">
        <v>411</v>
      </c>
    </row>
    <row r="17" spans="1:39" ht="12.75">
      <c r="A17" s="441">
        <v>40564</v>
      </c>
      <c r="B17" s="301">
        <v>0.094</v>
      </c>
      <c r="C17" s="301">
        <v>2.8779</v>
      </c>
      <c r="D17" s="301">
        <v>2.8382</v>
      </c>
      <c r="E17" s="301">
        <v>0.3696</v>
      </c>
      <c r="F17" s="301">
        <v>2.8855</v>
      </c>
      <c r="G17" s="301">
        <v>2.1746</v>
      </c>
      <c r="H17" s="301">
        <v>2.2383</v>
      </c>
      <c r="I17" s="301">
        <v>3.8936</v>
      </c>
      <c r="J17" s="301">
        <v>1.4143</v>
      </c>
      <c r="K17" s="301">
        <v>2.987</v>
      </c>
      <c r="L17" s="301">
        <v>4.5732</v>
      </c>
      <c r="M17" s="301">
        <v>0.3637</v>
      </c>
      <c r="N17" s="301">
        <v>3.4718</v>
      </c>
      <c r="O17" s="301">
        <v>0.1601</v>
      </c>
      <c r="P17" s="301">
        <v>0.5225</v>
      </c>
      <c r="R17" s="301">
        <v>2.459</v>
      </c>
      <c r="S17" s="301">
        <v>0.4924</v>
      </c>
      <c r="U17" s="301">
        <v>0.4334</v>
      </c>
      <c r="V17" s="301">
        <v>0.5266</v>
      </c>
      <c r="W17" s="301">
        <v>0.913</v>
      </c>
      <c r="X17" s="301">
        <v>1.9908</v>
      </c>
      <c r="Y17" s="301">
        <v>1.8196</v>
      </c>
      <c r="Z17" s="301">
        <v>1.1276</v>
      </c>
      <c r="AA17" s="301">
        <v>5.5385</v>
      </c>
      <c r="AB17" s="301">
        <v>0.0647</v>
      </c>
      <c r="AC17" s="301">
        <v>0.2383</v>
      </c>
      <c r="AD17" s="301">
        <v>0.4039</v>
      </c>
      <c r="AE17" s="301">
        <v>1.721</v>
      </c>
      <c r="AF17" s="301">
        <v>0.9402</v>
      </c>
      <c r="AG17" s="301">
        <v>0.0959</v>
      </c>
      <c r="AH17" s="301">
        <v>3.1934</v>
      </c>
      <c r="AI17" s="301">
        <v>0.2565</v>
      </c>
      <c r="AJ17" s="301">
        <v>0.4372</v>
      </c>
      <c r="AK17" s="301">
        <v>4.4957</v>
      </c>
      <c r="AL17" s="302">
        <v>14</v>
      </c>
      <c r="AM17" t="s">
        <v>411</v>
      </c>
    </row>
    <row r="18" spans="1:39" ht="12.75">
      <c r="A18" s="441">
        <v>40567</v>
      </c>
      <c r="B18" s="301">
        <v>0.0923</v>
      </c>
      <c r="C18" s="301">
        <v>2.8561</v>
      </c>
      <c r="D18" s="301">
        <v>2.8272</v>
      </c>
      <c r="E18" s="301">
        <v>0.3663</v>
      </c>
      <c r="F18" s="301">
        <v>2.8661</v>
      </c>
      <c r="G18" s="301">
        <v>2.1683</v>
      </c>
      <c r="H18" s="301">
        <v>2.2245</v>
      </c>
      <c r="I18" s="301">
        <v>3.8765</v>
      </c>
      <c r="J18" s="301">
        <v>1.4121</v>
      </c>
      <c r="K18" s="301">
        <v>2.9759</v>
      </c>
      <c r="L18" s="301">
        <v>4.5568</v>
      </c>
      <c r="M18" s="301">
        <v>0.3593</v>
      </c>
      <c r="N18" s="301">
        <v>3.4498</v>
      </c>
      <c r="O18" s="301">
        <v>0.1596</v>
      </c>
      <c r="P18" s="301">
        <v>0.5201</v>
      </c>
      <c r="R18" s="301">
        <v>2.4345</v>
      </c>
      <c r="S18" s="301">
        <v>0.4909</v>
      </c>
      <c r="U18" s="301">
        <v>0.4327</v>
      </c>
      <c r="V18" s="301">
        <v>0.5243</v>
      </c>
      <c r="W18" s="301">
        <v>0.9077</v>
      </c>
      <c r="X18" s="301">
        <v>1.9821</v>
      </c>
      <c r="Y18" s="301">
        <v>1.8119</v>
      </c>
      <c r="Z18" s="301">
        <v>1.1227</v>
      </c>
      <c r="AA18" s="301">
        <v>5.5103</v>
      </c>
      <c r="AB18" s="301">
        <v>0.064</v>
      </c>
      <c r="AC18" s="301">
        <v>0.2369</v>
      </c>
      <c r="AD18" s="301">
        <v>0.4041</v>
      </c>
      <c r="AE18" s="301">
        <v>1.7035</v>
      </c>
      <c r="AF18" s="301">
        <v>0.9345</v>
      </c>
      <c r="AG18" s="301">
        <v>0.0957</v>
      </c>
      <c r="AH18" s="301">
        <v>3.1471</v>
      </c>
      <c r="AI18" s="301">
        <v>0.2545</v>
      </c>
      <c r="AJ18" s="301">
        <v>0.4339</v>
      </c>
      <c r="AK18" s="301">
        <v>4.4571</v>
      </c>
      <c r="AL18" s="302">
        <v>15</v>
      </c>
      <c r="AM18" t="s">
        <v>411</v>
      </c>
    </row>
    <row r="19" spans="1:39" ht="12.75">
      <c r="A19" s="441">
        <v>40568</v>
      </c>
      <c r="B19" s="301">
        <v>0.0923</v>
      </c>
      <c r="C19" s="301">
        <v>2.8558</v>
      </c>
      <c r="D19" s="301">
        <v>2.8392</v>
      </c>
      <c r="E19" s="301">
        <v>0.3666</v>
      </c>
      <c r="F19" s="301">
        <v>2.8702</v>
      </c>
      <c r="G19" s="301">
        <v>2.1802</v>
      </c>
      <c r="H19" s="301">
        <v>2.2267</v>
      </c>
      <c r="I19" s="301">
        <v>3.8777</v>
      </c>
      <c r="J19" s="301">
        <v>1.4081</v>
      </c>
      <c r="K19" s="301">
        <v>3.012</v>
      </c>
      <c r="L19" s="301">
        <v>4.5053</v>
      </c>
      <c r="M19" s="301">
        <v>0.3578</v>
      </c>
      <c r="N19" s="301">
        <v>3.4624</v>
      </c>
      <c r="O19" s="301">
        <v>0.1601</v>
      </c>
      <c r="P19" s="301">
        <v>0.5202</v>
      </c>
      <c r="R19" s="301">
        <v>2.4365</v>
      </c>
      <c r="S19" s="301">
        <v>0.4921</v>
      </c>
      <c r="U19" s="301">
        <v>0.4339</v>
      </c>
      <c r="V19" s="301">
        <v>0.5236</v>
      </c>
      <c r="W19" s="301">
        <v>0.9097</v>
      </c>
      <c r="X19" s="301">
        <v>1.9827</v>
      </c>
      <c r="Y19" s="301">
        <v>1.829</v>
      </c>
      <c r="Z19" s="301">
        <v>1.123</v>
      </c>
      <c r="AA19" s="301">
        <v>5.5151</v>
      </c>
      <c r="AB19" s="301">
        <v>0.0641</v>
      </c>
      <c r="AC19" s="301">
        <v>0.2365</v>
      </c>
      <c r="AD19" s="301">
        <v>0.4062</v>
      </c>
      <c r="AE19" s="301">
        <v>1.7095</v>
      </c>
      <c r="AF19" s="301">
        <v>0.9359</v>
      </c>
      <c r="AG19" s="301">
        <v>0.0959</v>
      </c>
      <c r="AH19" s="301">
        <v>3.1303</v>
      </c>
      <c r="AI19" s="301">
        <v>0.2551</v>
      </c>
      <c r="AJ19" s="301">
        <v>0.4339</v>
      </c>
      <c r="AK19" s="301">
        <v>4.4468</v>
      </c>
      <c r="AL19" s="302">
        <v>16</v>
      </c>
      <c r="AM19" t="s">
        <v>411</v>
      </c>
    </row>
    <row r="20" spans="1:39" ht="12.75">
      <c r="A20" s="441">
        <v>40569</v>
      </c>
      <c r="B20" s="301">
        <v>0.0917</v>
      </c>
      <c r="C20" s="301">
        <v>2.828</v>
      </c>
      <c r="D20" s="301">
        <v>2.8209</v>
      </c>
      <c r="E20" s="301">
        <v>0.3631</v>
      </c>
      <c r="F20" s="301">
        <v>2.8421</v>
      </c>
      <c r="G20" s="301">
        <v>2.172</v>
      </c>
      <c r="H20" s="301">
        <v>2.2101</v>
      </c>
      <c r="I20" s="301">
        <v>3.8777</v>
      </c>
      <c r="J20" s="301">
        <v>1.4098</v>
      </c>
      <c r="K20" s="301">
        <v>2.9929</v>
      </c>
      <c r="L20" s="301">
        <v>4.4767</v>
      </c>
      <c r="M20" s="301">
        <v>0.3567</v>
      </c>
      <c r="N20" s="301">
        <v>3.4415</v>
      </c>
      <c r="O20" s="301">
        <v>0.1597</v>
      </c>
      <c r="P20" s="301">
        <v>0.5203</v>
      </c>
      <c r="R20" s="301">
        <v>2.4388</v>
      </c>
      <c r="S20" s="301">
        <v>0.4926</v>
      </c>
      <c r="U20" s="301">
        <v>0.4365</v>
      </c>
      <c r="V20" s="301">
        <v>0.5231</v>
      </c>
      <c r="W20" s="301">
        <v>0.9102</v>
      </c>
      <c r="X20" s="301">
        <v>1.9827</v>
      </c>
      <c r="Y20" s="301">
        <v>1.7973</v>
      </c>
      <c r="Z20" s="301">
        <v>1.123</v>
      </c>
      <c r="AA20" s="301">
        <v>5.5112</v>
      </c>
      <c r="AB20" s="301">
        <v>0.0638</v>
      </c>
      <c r="AC20" s="301">
        <v>0.2339</v>
      </c>
      <c r="AD20" s="301">
        <v>0.3987</v>
      </c>
      <c r="AE20" s="301">
        <v>1.6914</v>
      </c>
      <c r="AF20" s="301">
        <v>0.9266</v>
      </c>
      <c r="AG20" s="301">
        <v>0.095</v>
      </c>
      <c r="AH20" s="301">
        <v>3.1297</v>
      </c>
      <c r="AI20" s="301">
        <v>0.2531</v>
      </c>
      <c r="AJ20" s="301">
        <v>0.4296</v>
      </c>
      <c r="AK20" s="301">
        <v>4.4462</v>
      </c>
      <c r="AL20" s="302">
        <v>17</v>
      </c>
      <c r="AM20" t="s">
        <v>411</v>
      </c>
    </row>
    <row r="21" spans="1:39" ht="12.75">
      <c r="A21" s="441">
        <v>40570</v>
      </c>
      <c r="B21" s="301">
        <v>0.0923</v>
      </c>
      <c r="C21" s="301">
        <v>2.8508</v>
      </c>
      <c r="D21" s="301">
        <v>2.8267</v>
      </c>
      <c r="E21" s="301">
        <v>0.3663</v>
      </c>
      <c r="F21" s="301">
        <v>2.8607</v>
      </c>
      <c r="G21" s="301">
        <v>2.1967</v>
      </c>
      <c r="H21" s="301">
        <v>2.2266</v>
      </c>
      <c r="I21" s="301">
        <v>3.9009</v>
      </c>
      <c r="J21" s="301">
        <v>1.4221</v>
      </c>
      <c r="K21" s="301">
        <v>3.0171</v>
      </c>
      <c r="L21" s="301">
        <v>4.5296</v>
      </c>
      <c r="M21" s="301">
        <v>0.3592</v>
      </c>
      <c r="N21" s="301">
        <v>3.4421</v>
      </c>
      <c r="O21" s="301">
        <v>0.1612</v>
      </c>
      <c r="P21" s="301">
        <v>0.5234</v>
      </c>
      <c r="R21" s="301">
        <v>2.4519</v>
      </c>
      <c r="S21" s="301">
        <v>0.4936</v>
      </c>
      <c r="U21" s="301">
        <v>0.4412</v>
      </c>
      <c r="V21" s="301">
        <v>0.5263</v>
      </c>
      <c r="W21" s="301">
        <v>0.9141</v>
      </c>
      <c r="X21" s="301">
        <v>1.9945</v>
      </c>
      <c r="Y21" s="301">
        <v>1.8108</v>
      </c>
      <c r="Z21" s="301">
        <v>1.1297</v>
      </c>
      <c r="AA21" s="301">
        <v>5.5332</v>
      </c>
      <c r="AB21" s="301">
        <v>0.0645</v>
      </c>
      <c r="AC21" s="301">
        <v>0.2372</v>
      </c>
      <c r="AD21" s="301">
        <v>0.4036</v>
      </c>
      <c r="AE21" s="301">
        <v>1.7097</v>
      </c>
      <c r="AF21" s="301">
        <v>0.9339</v>
      </c>
      <c r="AG21" s="301">
        <v>0.096</v>
      </c>
      <c r="AH21" s="301">
        <v>3.1529</v>
      </c>
      <c r="AI21" s="301">
        <v>0.2558</v>
      </c>
      <c r="AJ21" s="301">
        <v>0.433</v>
      </c>
      <c r="AK21" s="301">
        <v>4.4551</v>
      </c>
      <c r="AL21" s="302">
        <v>18</v>
      </c>
      <c r="AM21" t="s">
        <v>411</v>
      </c>
    </row>
    <row r="22" spans="1:39" ht="12.75">
      <c r="A22" s="441">
        <v>40571</v>
      </c>
      <c r="B22" s="301">
        <v>0.0918</v>
      </c>
      <c r="C22" s="301">
        <v>2.8501</v>
      </c>
      <c r="D22" s="301">
        <v>2.8275</v>
      </c>
      <c r="E22" s="301">
        <v>0.3656</v>
      </c>
      <c r="F22" s="301">
        <v>2.8617</v>
      </c>
      <c r="G22" s="301">
        <v>2.2034</v>
      </c>
      <c r="H22" s="301">
        <v>2.2259</v>
      </c>
      <c r="I22" s="301">
        <v>3.9111</v>
      </c>
      <c r="J22" s="301">
        <v>1.439</v>
      </c>
      <c r="K22" s="301">
        <v>3.0138</v>
      </c>
      <c r="L22" s="301">
        <v>4.5257</v>
      </c>
      <c r="M22" s="301">
        <v>0.3586</v>
      </c>
      <c r="N22" s="301">
        <v>3.4485</v>
      </c>
      <c r="O22" s="301">
        <v>0.1615</v>
      </c>
      <c r="P22" s="301">
        <v>0.5247</v>
      </c>
      <c r="R22" s="301">
        <v>2.4645</v>
      </c>
      <c r="S22" s="301">
        <v>0.4931</v>
      </c>
      <c r="U22" s="301">
        <v>0.4414</v>
      </c>
      <c r="V22" s="301">
        <v>0.5269</v>
      </c>
      <c r="W22" s="301">
        <v>0.9192</v>
      </c>
      <c r="X22" s="301">
        <v>1.9997</v>
      </c>
      <c r="Y22" s="301">
        <v>1.7905</v>
      </c>
      <c r="Z22" s="301">
        <v>1.1327</v>
      </c>
      <c r="AA22" s="301">
        <v>5.5492</v>
      </c>
      <c r="AB22" s="301">
        <v>0.0646</v>
      </c>
      <c r="AC22" s="301">
        <v>0.2362</v>
      </c>
      <c r="AD22" s="301">
        <v>0.3995</v>
      </c>
      <c r="AE22" s="301">
        <v>1.7001</v>
      </c>
      <c r="AF22" s="301">
        <v>0.9327</v>
      </c>
      <c r="AG22" s="301">
        <v>0.096</v>
      </c>
      <c r="AH22" s="301">
        <v>3.1611</v>
      </c>
      <c r="AI22" s="301">
        <v>0.2558</v>
      </c>
      <c r="AJ22" s="301">
        <v>0.4328</v>
      </c>
      <c r="AK22" s="301">
        <v>4.4599</v>
      </c>
      <c r="AL22" s="302">
        <v>19</v>
      </c>
      <c r="AM22" t="s">
        <v>411</v>
      </c>
    </row>
    <row r="23" spans="1:39" ht="12.75">
      <c r="A23" s="441">
        <v>40574</v>
      </c>
      <c r="B23" s="301">
        <v>0.0933</v>
      </c>
      <c r="C23" s="301">
        <v>2.8845</v>
      </c>
      <c r="D23" s="301">
        <v>2.8625</v>
      </c>
      <c r="E23" s="301">
        <v>0.3699</v>
      </c>
      <c r="F23" s="301">
        <v>2.8828</v>
      </c>
      <c r="G23" s="301">
        <v>2.2184</v>
      </c>
      <c r="H23" s="301">
        <v>2.249</v>
      </c>
      <c r="I23" s="301">
        <v>3.9345</v>
      </c>
      <c r="J23" s="301">
        <v>1.4396</v>
      </c>
      <c r="K23" s="301">
        <v>3.059</v>
      </c>
      <c r="L23" s="301">
        <v>4.5769</v>
      </c>
      <c r="M23" s="301">
        <v>0.3632</v>
      </c>
      <c r="N23" s="301">
        <v>3.509</v>
      </c>
      <c r="O23" s="301">
        <v>0.1621</v>
      </c>
      <c r="P23" s="301">
        <v>0.5278</v>
      </c>
      <c r="R23" s="301">
        <v>2.4787</v>
      </c>
      <c r="S23" s="301">
        <v>0.4962</v>
      </c>
      <c r="U23" s="301">
        <v>0.4432</v>
      </c>
      <c r="V23" s="301">
        <v>0.5303</v>
      </c>
      <c r="W23" s="301">
        <v>0.9244</v>
      </c>
      <c r="X23" s="301">
        <v>2.0118</v>
      </c>
      <c r="Y23" s="301">
        <v>1.7982</v>
      </c>
      <c r="Z23" s="301">
        <v>1.1395</v>
      </c>
      <c r="AA23" s="301">
        <v>5.5947</v>
      </c>
      <c r="AB23" s="301">
        <v>0.0651</v>
      </c>
      <c r="AC23" s="301">
        <v>0.237</v>
      </c>
      <c r="AD23" s="301">
        <v>0.4027</v>
      </c>
      <c r="AE23" s="301">
        <v>1.7122</v>
      </c>
      <c r="AF23" s="301">
        <v>0.9419</v>
      </c>
      <c r="AG23" s="301">
        <v>0.0967</v>
      </c>
      <c r="AH23" s="301">
        <v>3.18</v>
      </c>
      <c r="AI23" s="301">
        <v>0.2573</v>
      </c>
      <c r="AJ23" s="301">
        <v>0.4366</v>
      </c>
      <c r="AK23" s="301">
        <v>4.4892</v>
      </c>
      <c r="AL23" s="302">
        <v>20</v>
      </c>
      <c r="AM23" t="s">
        <v>411</v>
      </c>
    </row>
    <row r="24" spans="1:39" ht="12.75">
      <c r="A24" s="441">
        <v>40575</v>
      </c>
      <c r="B24" s="301">
        <v>0.0921</v>
      </c>
      <c r="C24" s="301">
        <v>2.8468</v>
      </c>
      <c r="D24" s="301">
        <v>2.8637</v>
      </c>
      <c r="E24" s="301">
        <v>0.3654</v>
      </c>
      <c r="F24" s="301">
        <v>2.853</v>
      </c>
      <c r="G24" s="301">
        <v>2.2109</v>
      </c>
      <c r="H24" s="301">
        <v>2.2323</v>
      </c>
      <c r="I24" s="301">
        <v>3.9129</v>
      </c>
      <c r="J24" s="301">
        <v>1.4415</v>
      </c>
      <c r="K24" s="301">
        <v>3.0235</v>
      </c>
      <c r="L24" s="301">
        <v>4.5829</v>
      </c>
      <c r="M24" s="301">
        <v>0.3576</v>
      </c>
      <c r="N24" s="301">
        <v>3.4904</v>
      </c>
      <c r="O24" s="301">
        <v>0.162</v>
      </c>
      <c r="P24" s="301">
        <v>0.5248</v>
      </c>
      <c r="R24" s="301">
        <v>2.4633</v>
      </c>
      <c r="S24" s="301">
        <v>0.4957</v>
      </c>
      <c r="U24" s="301">
        <v>0.4441</v>
      </c>
      <c r="V24" s="301">
        <v>0.5279</v>
      </c>
      <c r="W24" s="301">
        <v>0.9191</v>
      </c>
      <c r="X24" s="301">
        <v>2.0007</v>
      </c>
      <c r="Y24" s="301">
        <v>1.7912</v>
      </c>
      <c r="Z24" s="301">
        <v>1.1332</v>
      </c>
      <c r="AA24" s="301">
        <v>5.5716</v>
      </c>
      <c r="AB24" s="301">
        <v>0.0644</v>
      </c>
      <c r="AC24" s="301">
        <v>0.2357</v>
      </c>
      <c r="AD24" s="301">
        <v>0.3986</v>
      </c>
      <c r="AE24" s="301">
        <v>1.7083</v>
      </c>
      <c r="AF24" s="301">
        <v>0.9301</v>
      </c>
      <c r="AG24" s="301">
        <v>0.096</v>
      </c>
      <c r="AH24" s="301">
        <v>3.1568</v>
      </c>
      <c r="AI24" s="301">
        <v>0.2554</v>
      </c>
      <c r="AJ24" s="301">
        <v>0.4317</v>
      </c>
      <c r="AK24" s="301">
        <v>4.4637</v>
      </c>
      <c r="AL24" s="302">
        <v>21</v>
      </c>
      <c r="AM24" t="s">
        <v>411</v>
      </c>
    </row>
    <row r="25" spans="1:39" ht="12.75">
      <c r="A25" s="441">
        <v>40576</v>
      </c>
      <c r="B25" s="301">
        <v>0.0916</v>
      </c>
      <c r="C25" s="301">
        <v>2.823</v>
      </c>
      <c r="D25" s="301">
        <v>2.855</v>
      </c>
      <c r="E25" s="301">
        <v>0.3629</v>
      </c>
      <c r="F25" s="301">
        <v>2.8581</v>
      </c>
      <c r="G25" s="301">
        <v>2.2061</v>
      </c>
      <c r="H25" s="301">
        <v>2.2161</v>
      </c>
      <c r="I25" s="301">
        <v>3.9019</v>
      </c>
      <c r="J25" s="301">
        <v>1.4488</v>
      </c>
      <c r="K25" s="301">
        <v>3.0188</v>
      </c>
      <c r="L25" s="301">
        <v>4.5749</v>
      </c>
      <c r="M25" s="301">
        <v>0.355</v>
      </c>
      <c r="N25" s="301">
        <v>3.4657</v>
      </c>
      <c r="O25" s="301">
        <v>0.162</v>
      </c>
      <c r="P25" s="301">
        <v>0.5234</v>
      </c>
      <c r="R25" s="301">
        <v>2.4574</v>
      </c>
      <c r="S25" s="301">
        <v>0.4943</v>
      </c>
      <c r="U25" s="301">
        <v>0.4409</v>
      </c>
      <c r="V25" s="301">
        <v>0.5258</v>
      </c>
      <c r="W25" s="301">
        <v>0.9165</v>
      </c>
      <c r="X25" s="301">
        <v>1.995</v>
      </c>
      <c r="Y25" s="301">
        <v>1.7881</v>
      </c>
      <c r="Z25" s="301">
        <v>1.1301</v>
      </c>
      <c r="AA25" s="301">
        <v>5.563</v>
      </c>
      <c r="AB25" s="301">
        <v>0.0642</v>
      </c>
      <c r="AC25" s="301">
        <v>0.2351</v>
      </c>
      <c r="AD25" s="301">
        <v>0.3959</v>
      </c>
      <c r="AE25" s="301">
        <v>1.6984</v>
      </c>
      <c r="AF25" s="301">
        <v>0.9276</v>
      </c>
      <c r="AG25" s="301">
        <v>0.096</v>
      </c>
      <c r="AH25" s="301">
        <v>3.1347</v>
      </c>
      <c r="AI25" s="301">
        <v>0.2534</v>
      </c>
      <c r="AJ25" s="301">
        <v>0.4305</v>
      </c>
      <c r="AK25" s="301">
        <v>4.4512</v>
      </c>
      <c r="AL25" s="302">
        <v>22</v>
      </c>
      <c r="AM25" t="s">
        <v>411</v>
      </c>
    </row>
    <row r="26" spans="1:39" ht="12.75">
      <c r="A26" s="441">
        <v>40577</v>
      </c>
      <c r="B26" s="301">
        <v>0.0923</v>
      </c>
      <c r="C26" s="301">
        <v>2.8424</v>
      </c>
      <c r="D26" s="301">
        <v>2.8812</v>
      </c>
      <c r="E26" s="301">
        <v>0.3651</v>
      </c>
      <c r="F26" s="301">
        <v>2.8799</v>
      </c>
      <c r="G26" s="301">
        <v>2.1971</v>
      </c>
      <c r="H26" s="301">
        <v>2.2343</v>
      </c>
      <c r="I26" s="301">
        <v>3.9173</v>
      </c>
      <c r="J26" s="301">
        <v>1.4514</v>
      </c>
      <c r="K26" s="301">
        <v>3.0145</v>
      </c>
      <c r="L26" s="301">
        <v>4.6211</v>
      </c>
      <c r="M26" s="301">
        <v>0.3571</v>
      </c>
      <c r="N26" s="301">
        <v>3.4813</v>
      </c>
      <c r="O26" s="301">
        <v>0.1623</v>
      </c>
      <c r="P26" s="301">
        <v>0.5254</v>
      </c>
      <c r="R26" s="301">
        <v>2.4684</v>
      </c>
      <c r="S26" s="301">
        <v>0.4962</v>
      </c>
      <c r="U26" s="301">
        <v>0.441</v>
      </c>
      <c r="V26" s="301">
        <v>0.528</v>
      </c>
      <c r="W26" s="301">
        <v>0.9194</v>
      </c>
      <c r="X26" s="301">
        <v>2.0029</v>
      </c>
      <c r="Y26" s="301">
        <v>1.8011</v>
      </c>
      <c r="Z26" s="301">
        <v>1.1345</v>
      </c>
      <c r="AA26" s="301">
        <v>5.5882</v>
      </c>
      <c r="AB26" s="301">
        <v>0.0648</v>
      </c>
      <c r="AC26" s="301">
        <v>0.2367</v>
      </c>
      <c r="AD26" s="301">
        <v>0.3961</v>
      </c>
      <c r="AE26" s="301">
        <v>1.7048</v>
      </c>
      <c r="AF26" s="301">
        <v>0.9341</v>
      </c>
      <c r="AG26" s="301">
        <v>0.0969</v>
      </c>
      <c r="AH26" s="301">
        <v>3.1452</v>
      </c>
      <c r="AI26" s="301">
        <v>0.2552</v>
      </c>
      <c r="AJ26" s="301">
        <v>0.4335</v>
      </c>
      <c r="AK26" s="301">
        <v>4.4613</v>
      </c>
      <c r="AL26" s="302">
        <v>23</v>
      </c>
      <c r="AM26" t="s">
        <v>411</v>
      </c>
    </row>
    <row r="27" spans="1:39" ht="12.75">
      <c r="A27" s="441">
        <v>40578</v>
      </c>
      <c r="B27" s="301">
        <v>0.0932</v>
      </c>
      <c r="C27" s="301">
        <v>2.8666</v>
      </c>
      <c r="D27" s="301">
        <v>2.9194</v>
      </c>
      <c r="E27" s="301">
        <v>0.3682</v>
      </c>
      <c r="F27" s="301">
        <v>2.8953</v>
      </c>
      <c r="G27" s="301">
        <v>2.2136</v>
      </c>
      <c r="H27" s="301">
        <v>2.2505</v>
      </c>
      <c r="I27" s="301">
        <v>3.9075</v>
      </c>
      <c r="J27" s="301">
        <v>1.4468</v>
      </c>
      <c r="K27" s="301">
        <v>3.0259</v>
      </c>
      <c r="L27" s="301">
        <v>4.6232</v>
      </c>
      <c r="M27" s="301">
        <v>0.3603</v>
      </c>
      <c r="N27" s="301">
        <v>3.5128</v>
      </c>
      <c r="O27" s="301">
        <v>0.1627</v>
      </c>
      <c r="P27" s="301">
        <v>0.5242</v>
      </c>
      <c r="R27" s="301">
        <v>2.4711</v>
      </c>
      <c r="S27" s="301">
        <v>0.4996</v>
      </c>
      <c r="U27" s="301">
        <v>0.4435</v>
      </c>
      <c r="V27" s="301">
        <v>0.5269</v>
      </c>
      <c r="W27" s="301">
        <v>0.9163</v>
      </c>
      <c r="X27" s="301">
        <v>1.9979</v>
      </c>
      <c r="Y27" s="301">
        <v>1.7904</v>
      </c>
      <c r="Z27" s="301">
        <v>1.1317</v>
      </c>
      <c r="AA27" s="301">
        <v>5.5726</v>
      </c>
      <c r="AB27" s="301">
        <v>0.0655</v>
      </c>
      <c r="AC27" s="301">
        <v>0.2385</v>
      </c>
      <c r="AD27" s="301">
        <v>0.3935</v>
      </c>
      <c r="AE27" s="301">
        <v>1.7185</v>
      </c>
      <c r="AF27" s="301">
        <v>0.9418</v>
      </c>
      <c r="AG27" s="301">
        <v>0.0974</v>
      </c>
      <c r="AH27" s="301">
        <v>3.1691</v>
      </c>
      <c r="AI27" s="301">
        <v>0.2573</v>
      </c>
      <c r="AJ27" s="301">
        <v>0.437</v>
      </c>
      <c r="AK27" s="301">
        <v>4.4638</v>
      </c>
      <c r="AL27" s="302">
        <v>24</v>
      </c>
      <c r="AM27" t="s">
        <v>411</v>
      </c>
    </row>
    <row r="28" spans="1:39" ht="12.75">
      <c r="A28" s="441">
        <v>40581</v>
      </c>
      <c r="B28" s="301">
        <v>0.0926</v>
      </c>
      <c r="C28" s="301">
        <v>2.8438</v>
      </c>
      <c r="D28" s="301">
        <v>2.8831</v>
      </c>
      <c r="E28" s="301">
        <v>0.3655</v>
      </c>
      <c r="F28" s="301">
        <v>2.8771</v>
      </c>
      <c r="G28" s="301">
        <v>2.1888</v>
      </c>
      <c r="H28" s="301">
        <v>2.2302</v>
      </c>
      <c r="I28" s="301">
        <v>3.8684</v>
      </c>
      <c r="J28" s="301">
        <v>1.4407</v>
      </c>
      <c r="K28" s="301">
        <v>2.9713</v>
      </c>
      <c r="L28" s="301">
        <v>4.5921</v>
      </c>
      <c r="M28" s="301">
        <v>0.3576</v>
      </c>
      <c r="N28" s="301">
        <v>3.4524</v>
      </c>
      <c r="O28" s="301">
        <v>0.1608</v>
      </c>
      <c r="P28" s="301">
        <v>0.5189</v>
      </c>
      <c r="R28" s="301">
        <v>2.4499</v>
      </c>
      <c r="S28" s="301">
        <v>0.4926</v>
      </c>
      <c r="U28" s="301">
        <v>0.439</v>
      </c>
      <c r="V28" s="301">
        <v>0.5217</v>
      </c>
      <c r="W28" s="301">
        <v>0.9101</v>
      </c>
      <c r="X28" s="301">
        <v>1.9779</v>
      </c>
      <c r="Y28" s="301">
        <v>1.8052</v>
      </c>
      <c r="Z28" s="301">
        <v>1.1203</v>
      </c>
      <c r="AA28" s="301">
        <v>5.5153</v>
      </c>
      <c r="AB28" s="301">
        <v>0.0652</v>
      </c>
      <c r="AC28" s="301">
        <v>0.2378</v>
      </c>
      <c r="AD28" s="301">
        <v>0.3916</v>
      </c>
      <c r="AE28" s="301">
        <v>1.6996</v>
      </c>
      <c r="AF28" s="301">
        <v>0.9364</v>
      </c>
      <c r="AG28" s="301">
        <v>0.0968</v>
      </c>
      <c r="AH28" s="301">
        <v>3.1754</v>
      </c>
      <c r="AI28" s="301">
        <v>0.2577</v>
      </c>
      <c r="AJ28" s="301">
        <v>0.4334</v>
      </c>
      <c r="AK28" s="301">
        <v>4.4371</v>
      </c>
      <c r="AL28" s="302">
        <v>25</v>
      </c>
      <c r="AM28" t="s">
        <v>411</v>
      </c>
    </row>
    <row r="29" spans="1:39" ht="12.75">
      <c r="A29" s="441">
        <v>40582</v>
      </c>
      <c r="B29" s="301">
        <v>0.0927</v>
      </c>
      <c r="C29" s="301">
        <v>2.8471</v>
      </c>
      <c r="D29" s="301">
        <v>2.897</v>
      </c>
      <c r="E29" s="301">
        <v>0.3659</v>
      </c>
      <c r="F29" s="301">
        <v>2.8793</v>
      </c>
      <c r="G29" s="301">
        <v>2.2081</v>
      </c>
      <c r="H29" s="301">
        <v>2.238</v>
      </c>
      <c r="I29" s="301">
        <v>3.8742</v>
      </c>
      <c r="J29" s="301">
        <v>1.445</v>
      </c>
      <c r="K29" s="301">
        <v>2.9819</v>
      </c>
      <c r="L29" s="301">
        <v>4.5892</v>
      </c>
      <c r="M29" s="301">
        <v>0.3577</v>
      </c>
      <c r="N29" s="301">
        <v>3.4673</v>
      </c>
      <c r="O29" s="301">
        <v>0.1613</v>
      </c>
      <c r="P29" s="301">
        <v>0.5197</v>
      </c>
      <c r="R29" s="301">
        <v>2.4547</v>
      </c>
      <c r="S29" s="301">
        <v>0.4938</v>
      </c>
      <c r="U29" s="301">
        <v>0.4417</v>
      </c>
      <c r="V29" s="301">
        <v>0.5224</v>
      </c>
      <c r="W29" s="301">
        <v>0.9109</v>
      </c>
      <c r="X29" s="301">
        <v>1.9809</v>
      </c>
      <c r="Y29" s="301">
        <v>1.8133</v>
      </c>
      <c r="Z29" s="301">
        <v>1.122</v>
      </c>
      <c r="AA29" s="301">
        <v>5.5212</v>
      </c>
      <c r="AB29" s="301">
        <v>0.0656</v>
      </c>
      <c r="AC29" s="301">
        <v>0.2376</v>
      </c>
      <c r="AD29" s="301">
        <v>0.3945</v>
      </c>
      <c r="AE29" s="301">
        <v>1.6963</v>
      </c>
      <c r="AF29" s="301">
        <v>0.9386</v>
      </c>
      <c r="AG29" s="301">
        <v>0.0973</v>
      </c>
      <c r="AH29" s="301">
        <v>3.1854</v>
      </c>
      <c r="AI29" s="301">
        <v>0.2583</v>
      </c>
      <c r="AJ29" s="301">
        <v>0.4345</v>
      </c>
      <c r="AK29" s="301">
        <v>4.4551</v>
      </c>
      <c r="AL29" s="302">
        <v>26</v>
      </c>
      <c r="AM29" t="s">
        <v>411</v>
      </c>
    </row>
    <row r="30" spans="1:39" ht="12.75">
      <c r="A30" s="441">
        <v>40583</v>
      </c>
      <c r="B30" s="301">
        <v>0.093</v>
      </c>
      <c r="C30" s="301">
        <v>2.8581</v>
      </c>
      <c r="D30" s="301">
        <v>2.888</v>
      </c>
      <c r="E30" s="301">
        <v>0.367</v>
      </c>
      <c r="F30" s="301">
        <v>2.875</v>
      </c>
      <c r="G30" s="301">
        <v>2.2032</v>
      </c>
      <c r="H30" s="301">
        <v>2.2407</v>
      </c>
      <c r="I30" s="301">
        <v>3.8993</v>
      </c>
      <c r="J30" s="301">
        <v>1.4389</v>
      </c>
      <c r="K30" s="301">
        <v>2.9652</v>
      </c>
      <c r="L30" s="301">
        <v>4.5971</v>
      </c>
      <c r="M30" s="301">
        <v>0.3589</v>
      </c>
      <c r="N30" s="301">
        <v>3.4613</v>
      </c>
      <c r="O30" s="301">
        <v>0.1614</v>
      </c>
      <c r="P30" s="301">
        <v>0.523</v>
      </c>
      <c r="R30" s="301">
        <v>2.4625</v>
      </c>
      <c r="S30" s="301">
        <v>0.4945</v>
      </c>
      <c r="U30" s="301">
        <v>0.4435</v>
      </c>
      <c r="V30" s="301">
        <v>0.5259</v>
      </c>
      <c r="W30" s="301">
        <v>0.916</v>
      </c>
      <c r="X30" s="301">
        <v>1.9937</v>
      </c>
      <c r="Y30" s="301">
        <v>1.8012</v>
      </c>
      <c r="Z30" s="301">
        <v>1.1293</v>
      </c>
      <c r="AA30" s="301">
        <v>5.553</v>
      </c>
      <c r="AB30" s="301">
        <v>0.0656</v>
      </c>
      <c r="AC30" s="301">
        <v>0.2372</v>
      </c>
      <c r="AD30" s="301">
        <v>0.3952</v>
      </c>
      <c r="AE30" s="301">
        <v>1.7173</v>
      </c>
      <c r="AF30" s="301">
        <v>0.941</v>
      </c>
      <c r="AG30" s="301">
        <v>0.0974</v>
      </c>
      <c r="AH30" s="301">
        <v>3.1935</v>
      </c>
      <c r="AI30" s="301">
        <v>0.2574</v>
      </c>
      <c r="AJ30" s="301">
        <v>0.4336</v>
      </c>
      <c r="AK30" s="301">
        <v>4.4738</v>
      </c>
      <c r="AL30" s="302">
        <v>27</v>
      </c>
      <c r="AM30" t="s">
        <v>411</v>
      </c>
    </row>
    <row r="31" spans="1:39" ht="12.75">
      <c r="A31" s="441">
        <v>40584</v>
      </c>
      <c r="B31" s="301">
        <v>0.0936</v>
      </c>
      <c r="C31" s="301">
        <v>2.8795</v>
      </c>
      <c r="D31" s="301">
        <v>2.8899</v>
      </c>
      <c r="E31" s="301">
        <v>0.3697</v>
      </c>
      <c r="F31" s="301">
        <v>2.8842</v>
      </c>
      <c r="G31" s="301">
        <v>2.2079</v>
      </c>
      <c r="H31" s="301">
        <v>2.2523</v>
      </c>
      <c r="I31" s="301">
        <v>3.9248</v>
      </c>
      <c r="J31" s="301">
        <v>1.439</v>
      </c>
      <c r="K31" s="301">
        <v>2.9939</v>
      </c>
      <c r="L31" s="301">
        <v>4.6234</v>
      </c>
      <c r="M31" s="301">
        <v>0.3617</v>
      </c>
      <c r="N31" s="301">
        <v>3.4819</v>
      </c>
      <c r="O31" s="301">
        <v>0.1619</v>
      </c>
      <c r="P31" s="301">
        <v>0.5264</v>
      </c>
      <c r="R31" s="301">
        <v>2.4692</v>
      </c>
      <c r="S31" s="301">
        <v>0.4947</v>
      </c>
      <c r="U31" s="301">
        <v>0.4437</v>
      </c>
      <c r="V31" s="301">
        <v>0.5294</v>
      </c>
      <c r="W31" s="301">
        <v>0.9215</v>
      </c>
      <c r="X31" s="301">
        <v>2.0067</v>
      </c>
      <c r="Y31" s="301">
        <v>1.8042</v>
      </c>
      <c r="Z31" s="301">
        <v>1.1367</v>
      </c>
      <c r="AA31" s="301">
        <v>5.5766</v>
      </c>
      <c r="AB31" s="301">
        <v>0.0659</v>
      </c>
      <c r="AC31" s="301">
        <v>0.2376</v>
      </c>
      <c r="AD31" s="301">
        <v>0.3958</v>
      </c>
      <c r="AE31" s="301">
        <v>1.7185</v>
      </c>
      <c r="AF31" s="301">
        <v>0.9454</v>
      </c>
      <c r="AG31" s="301">
        <v>0.098</v>
      </c>
      <c r="AH31" s="301">
        <v>3.217</v>
      </c>
      <c r="AI31" s="301">
        <v>0.2573</v>
      </c>
      <c r="AJ31" s="301">
        <v>0.4371</v>
      </c>
      <c r="AK31" s="301">
        <v>4.4911</v>
      </c>
      <c r="AL31" s="302">
        <v>28</v>
      </c>
      <c r="AM31" t="s">
        <v>411</v>
      </c>
    </row>
    <row r="32" spans="1:39" ht="12.75">
      <c r="A32" s="441">
        <v>40585</v>
      </c>
      <c r="B32" s="301">
        <v>0.0944</v>
      </c>
      <c r="C32" s="301">
        <v>2.9116</v>
      </c>
      <c r="D32" s="301">
        <v>2.9049</v>
      </c>
      <c r="E32" s="301">
        <v>0.3735</v>
      </c>
      <c r="F32" s="301">
        <v>2.9188</v>
      </c>
      <c r="G32" s="301">
        <v>2.2052</v>
      </c>
      <c r="H32" s="301">
        <v>2.268</v>
      </c>
      <c r="I32" s="301">
        <v>3.937</v>
      </c>
      <c r="J32" s="301">
        <v>1.4432</v>
      </c>
      <c r="K32" s="301">
        <v>2.9979</v>
      </c>
      <c r="L32" s="301">
        <v>4.6702</v>
      </c>
      <c r="M32" s="301">
        <v>0.3654</v>
      </c>
      <c r="N32" s="301">
        <v>3.4873</v>
      </c>
      <c r="O32" s="301">
        <v>0.1623</v>
      </c>
      <c r="P32" s="301">
        <v>0.528</v>
      </c>
      <c r="R32" s="301">
        <v>2.4768</v>
      </c>
      <c r="S32" s="301">
        <v>0.4954</v>
      </c>
      <c r="U32" s="301">
        <v>0.446</v>
      </c>
      <c r="V32" s="301">
        <v>0.5313</v>
      </c>
      <c r="W32" s="301">
        <v>0.9232</v>
      </c>
      <c r="X32" s="301">
        <v>2.013</v>
      </c>
      <c r="Y32" s="301">
        <v>1.8231</v>
      </c>
      <c r="Z32" s="301">
        <v>1.1402</v>
      </c>
      <c r="AA32" s="301">
        <v>5.5923</v>
      </c>
      <c r="AB32" s="301">
        <v>0.0665</v>
      </c>
      <c r="AC32" s="301">
        <v>0.2405</v>
      </c>
      <c r="AD32" s="301">
        <v>0.399</v>
      </c>
      <c r="AE32" s="301">
        <v>1.7435</v>
      </c>
      <c r="AF32" s="301">
        <v>0.9535</v>
      </c>
      <c r="AG32" s="301">
        <v>0.0993</v>
      </c>
      <c r="AH32" s="301">
        <v>3.2377</v>
      </c>
      <c r="AI32" s="301">
        <v>0.2578</v>
      </c>
      <c r="AJ32" s="301">
        <v>0.4416</v>
      </c>
      <c r="AK32" s="301">
        <v>4.5193</v>
      </c>
      <c r="AL32" s="302">
        <v>29</v>
      </c>
      <c r="AM32" t="s">
        <v>411</v>
      </c>
    </row>
    <row r="33" spans="1:39" ht="12.75">
      <c r="A33" s="441">
        <v>40588</v>
      </c>
      <c r="B33" s="301">
        <v>0.095</v>
      </c>
      <c r="C33" s="301">
        <v>2.9219</v>
      </c>
      <c r="D33" s="301">
        <v>2.9293</v>
      </c>
      <c r="E33" s="301">
        <v>0.3749</v>
      </c>
      <c r="F33" s="301">
        <v>2.9598</v>
      </c>
      <c r="G33" s="301">
        <v>2.2101</v>
      </c>
      <c r="H33" s="301">
        <v>2.2807</v>
      </c>
      <c r="I33" s="301">
        <v>3.9337</v>
      </c>
      <c r="J33" s="301">
        <v>1.4467</v>
      </c>
      <c r="K33" s="301">
        <v>3.0036</v>
      </c>
      <c r="L33" s="301">
        <v>4.6799</v>
      </c>
      <c r="M33" s="301">
        <v>0.3668</v>
      </c>
      <c r="N33" s="301">
        <v>3.5077</v>
      </c>
      <c r="O33" s="301">
        <v>0.1626</v>
      </c>
      <c r="P33" s="301">
        <v>0.5275</v>
      </c>
      <c r="R33" s="301">
        <v>2.4832</v>
      </c>
      <c r="S33" s="301">
        <v>0.4968</v>
      </c>
      <c r="U33" s="301">
        <v>0.4487</v>
      </c>
      <c r="V33" s="301">
        <v>0.5308</v>
      </c>
      <c r="W33" s="301">
        <v>0.9259</v>
      </c>
      <c r="X33" s="301">
        <v>2.0113</v>
      </c>
      <c r="Y33" s="301">
        <v>1.8399</v>
      </c>
      <c r="Z33" s="301">
        <v>1.1392</v>
      </c>
      <c r="AA33" s="301">
        <v>5.5853</v>
      </c>
      <c r="AB33" s="301">
        <v>0.0669</v>
      </c>
      <c r="AC33" s="301">
        <v>0.2426</v>
      </c>
      <c r="AD33" s="301">
        <v>0.4015</v>
      </c>
      <c r="AE33" s="301">
        <v>1.7556</v>
      </c>
      <c r="AF33" s="301">
        <v>0.9569</v>
      </c>
      <c r="AG33" s="301">
        <v>0.0998</v>
      </c>
      <c r="AH33" s="301">
        <v>3.2523</v>
      </c>
      <c r="AI33" s="301">
        <v>0.2599</v>
      </c>
      <c r="AJ33" s="301">
        <v>0.4429</v>
      </c>
      <c r="AK33" s="301">
        <v>4.5205</v>
      </c>
      <c r="AL33" s="302">
        <v>30</v>
      </c>
      <c r="AM33" t="s">
        <v>411</v>
      </c>
    </row>
    <row r="34" spans="1:39" ht="12.75">
      <c r="A34" s="441">
        <v>40589</v>
      </c>
      <c r="B34" s="301">
        <v>0.0952</v>
      </c>
      <c r="C34" s="301">
        <v>2.9159</v>
      </c>
      <c r="D34" s="301">
        <v>2.921</v>
      </c>
      <c r="E34" s="301">
        <v>0.3739</v>
      </c>
      <c r="F34" s="301">
        <v>2.9569</v>
      </c>
      <c r="G34" s="301">
        <v>2.1964</v>
      </c>
      <c r="H34" s="301">
        <v>2.2739</v>
      </c>
      <c r="I34" s="301">
        <v>3.9398</v>
      </c>
      <c r="J34" s="301">
        <v>1.4531</v>
      </c>
      <c r="K34" s="301">
        <v>3.0067</v>
      </c>
      <c r="L34" s="301">
        <v>4.6691</v>
      </c>
      <c r="M34" s="301">
        <v>0.366</v>
      </c>
      <c r="N34" s="301">
        <v>3.4898</v>
      </c>
      <c r="O34" s="301">
        <v>0.1619</v>
      </c>
      <c r="P34" s="301">
        <v>0.5284</v>
      </c>
      <c r="R34" s="301">
        <v>2.4771</v>
      </c>
      <c r="S34" s="301">
        <v>0.5002</v>
      </c>
      <c r="U34" s="301">
        <v>0.4488</v>
      </c>
      <c r="V34" s="301">
        <v>0.5306</v>
      </c>
      <c r="W34" s="301">
        <v>0.9275</v>
      </c>
      <c r="X34" s="301">
        <v>2.0144</v>
      </c>
      <c r="Y34" s="301">
        <v>1.8236</v>
      </c>
      <c r="Z34" s="301">
        <v>1.141</v>
      </c>
      <c r="AA34" s="301">
        <v>5.582</v>
      </c>
      <c r="AB34" s="301">
        <v>0.0667</v>
      </c>
      <c r="AC34" s="301">
        <v>0.2417</v>
      </c>
      <c r="AD34" s="301">
        <v>0.3996</v>
      </c>
      <c r="AE34" s="301">
        <v>1.7495</v>
      </c>
      <c r="AF34" s="301">
        <v>0.9551</v>
      </c>
      <c r="AG34" s="301">
        <v>0.0996</v>
      </c>
      <c r="AH34" s="301">
        <v>3.2866</v>
      </c>
      <c r="AI34" s="301">
        <v>0.2601</v>
      </c>
      <c r="AJ34" s="301">
        <v>0.4426</v>
      </c>
      <c r="AK34" s="301">
        <v>4.5486</v>
      </c>
      <c r="AL34" s="302">
        <v>31</v>
      </c>
      <c r="AM34" t="s">
        <v>411</v>
      </c>
    </row>
    <row r="35" spans="1:39" ht="12.75">
      <c r="A35" s="441">
        <v>40590</v>
      </c>
      <c r="B35" s="301">
        <v>0.0943</v>
      </c>
      <c r="C35" s="301">
        <v>2.8864</v>
      </c>
      <c r="D35" s="301">
        <v>2.8877</v>
      </c>
      <c r="E35" s="301">
        <v>0.3706</v>
      </c>
      <c r="F35" s="301">
        <v>2.9275</v>
      </c>
      <c r="G35" s="301">
        <v>2.1795</v>
      </c>
      <c r="H35" s="301">
        <v>2.2585</v>
      </c>
      <c r="I35" s="301">
        <v>3.9123</v>
      </c>
      <c r="J35" s="301">
        <v>1.4439</v>
      </c>
      <c r="K35" s="301">
        <v>3.0006</v>
      </c>
      <c r="L35" s="301">
        <v>4.6583</v>
      </c>
      <c r="M35" s="301">
        <v>0.3627</v>
      </c>
      <c r="N35" s="301">
        <v>3.4529</v>
      </c>
      <c r="O35" s="301">
        <v>0.1609</v>
      </c>
      <c r="P35" s="301">
        <v>0.5247</v>
      </c>
      <c r="R35" s="301">
        <v>2.4598</v>
      </c>
      <c r="S35" s="301">
        <v>0.4984</v>
      </c>
      <c r="U35" s="301">
        <v>0.4467</v>
      </c>
      <c r="V35" s="301">
        <v>0.5282</v>
      </c>
      <c r="W35" s="301">
        <v>0.919</v>
      </c>
      <c r="X35" s="301">
        <v>2.0004</v>
      </c>
      <c r="Y35" s="301">
        <v>1.8189</v>
      </c>
      <c r="Z35" s="301">
        <v>1.1331</v>
      </c>
      <c r="AA35" s="301">
        <v>5.547</v>
      </c>
      <c r="AB35" s="301">
        <v>0.0662</v>
      </c>
      <c r="AC35" s="301">
        <v>0.2382</v>
      </c>
      <c r="AD35" s="301">
        <v>0.3959</v>
      </c>
      <c r="AE35" s="301">
        <v>1.73</v>
      </c>
      <c r="AF35" s="301">
        <v>0.9481</v>
      </c>
      <c r="AG35" s="301">
        <v>0.0986</v>
      </c>
      <c r="AH35" s="301">
        <v>3.2528</v>
      </c>
      <c r="AI35" s="301">
        <v>0.2582</v>
      </c>
      <c r="AJ35" s="301">
        <v>0.4381</v>
      </c>
      <c r="AK35" s="301">
        <v>4.5064</v>
      </c>
      <c r="AL35" s="302">
        <v>32</v>
      </c>
      <c r="AM35" t="s">
        <v>411</v>
      </c>
    </row>
    <row r="36" spans="1:39" ht="12.75">
      <c r="A36" s="441">
        <v>40591</v>
      </c>
      <c r="B36" s="301">
        <v>0.0941</v>
      </c>
      <c r="C36" s="301">
        <v>2.879</v>
      </c>
      <c r="D36" s="301">
        <v>2.8901</v>
      </c>
      <c r="E36" s="301">
        <v>0.3698</v>
      </c>
      <c r="F36" s="301">
        <v>2.9229</v>
      </c>
      <c r="G36" s="301">
        <v>2.1746</v>
      </c>
      <c r="H36" s="301">
        <v>2.2513</v>
      </c>
      <c r="I36" s="301">
        <v>3.9068</v>
      </c>
      <c r="J36" s="301">
        <v>1.4489</v>
      </c>
      <c r="K36" s="301">
        <v>3.0109</v>
      </c>
      <c r="L36" s="301">
        <v>4.6443</v>
      </c>
      <c r="M36" s="301">
        <v>0.3614</v>
      </c>
      <c r="N36" s="301">
        <v>3.4465</v>
      </c>
      <c r="O36" s="301">
        <v>0.1604</v>
      </c>
      <c r="P36" s="301">
        <v>0.524</v>
      </c>
      <c r="R36" s="301">
        <v>2.4525</v>
      </c>
      <c r="S36" s="301">
        <v>0.5015</v>
      </c>
      <c r="U36" s="301">
        <v>0.4472</v>
      </c>
      <c r="V36" s="301">
        <v>0.5275</v>
      </c>
      <c r="W36" s="301">
        <v>0.919</v>
      </c>
      <c r="X36" s="301">
        <v>1.9975</v>
      </c>
      <c r="Y36" s="301">
        <v>1.825</v>
      </c>
      <c r="Z36" s="301">
        <v>1.1315</v>
      </c>
      <c r="AA36" s="301">
        <v>5.5447</v>
      </c>
      <c r="AB36" s="301">
        <v>0.0663</v>
      </c>
      <c r="AC36" s="301">
        <v>0.2384</v>
      </c>
      <c r="AD36" s="301">
        <v>0.3981</v>
      </c>
      <c r="AE36" s="301">
        <v>1.7185</v>
      </c>
      <c r="AF36" s="301">
        <v>0.9454</v>
      </c>
      <c r="AG36" s="301">
        <v>0.0983</v>
      </c>
      <c r="AH36" s="301">
        <v>3.2455</v>
      </c>
      <c r="AI36" s="301">
        <v>0.2575</v>
      </c>
      <c r="AJ36" s="301">
        <v>0.4372</v>
      </c>
      <c r="AK36" s="301">
        <v>4.4957</v>
      </c>
      <c r="AL36" s="302">
        <v>33</v>
      </c>
      <c r="AM36" t="s">
        <v>411</v>
      </c>
    </row>
    <row r="37" spans="1:39" ht="12.75">
      <c r="A37" s="441">
        <v>40592</v>
      </c>
      <c r="B37" s="301">
        <v>0.0942</v>
      </c>
      <c r="C37" s="301">
        <v>2.8803</v>
      </c>
      <c r="D37" s="301">
        <v>2.9137</v>
      </c>
      <c r="E37" s="301">
        <v>0.3701</v>
      </c>
      <c r="F37" s="301">
        <v>2.9291</v>
      </c>
      <c r="G37" s="301">
        <v>2.1928</v>
      </c>
      <c r="H37" s="301">
        <v>2.259</v>
      </c>
      <c r="I37" s="301">
        <v>3.9105</v>
      </c>
      <c r="J37" s="301">
        <v>1.4502</v>
      </c>
      <c r="K37" s="301">
        <v>3.0247</v>
      </c>
      <c r="L37" s="301">
        <v>4.672</v>
      </c>
      <c r="M37" s="301">
        <v>0.3621</v>
      </c>
      <c r="N37" s="301">
        <v>3.454</v>
      </c>
      <c r="O37" s="301">
        <v>0.1606</v>
      </c>
      <c r="P37" s="301">
        <v>0.5246</v>
      </c>
      <c r="R37" s="301">
        <v>2.457</v>
      </c>
      <c r="S37" s="301">
        <v>0.504</v>
      </c>
      <c r="U37" s="301">
        <v>0.4486</v>
      </c>
      <c r="V37" s="301">
        <v>0.5279</v>
      </c>
      <c r="W37" s="301">
        <v>0.9203</v>
      </c>
      <c r="X37" s="301">
        <v>1.9994</v>
      </c>
      <c r="Y37" s="301">
        <v>1.8249</v>
      </c>
      <c r="Z37" s="301">
        <v>1.1325</v>
      </c>
      <c r="AA37" s="301">
        <v>5.5523</v>
      </c>
      <c r="AB37" s="301">
        <v>0.0665</v>
      </c>
      <c r="AC37" s="301">
        <v>0.2397</v>
      </c>
      <c r="AD37" s="301">
        <v>0.3997</v>
      </c>
      <c r="AE37" s="301">
        <v>1.7198</v>
      </c>
      <c r="AF37" s="301">
        <v>0.9497</v>
      </c>
      <c r="AG37" s="301">
        <v>0.0985</v>
      </c>
      <c r="AH37" s="301">
        <v>3.2405</v>
      </c>
      <c r="AI37" s="301">
        <v>0.2588</v>
      </c>
      <c r="AJ37" s="301">
        <v>0.4383</v>
      </c>
      <c r="AK37" s="301">
        <v>4.4893</v>
      </c>
      <c r="AL37" s="302">
        <v>34</v>
      </c>
      <c r="AM37" t="s">
        <v>411</v>
      </c>
    </row>
    <row r="38" spans="1:39" ht="12.75">
      <c r="A38" s="441">
        <v>40595</v>
      </c>
      <c r="B38" s="301">
        <v>0.0942</v>
      </c>
      <c r="C38" s="301">
        <v>2.8755</v>
      </c>
      <c r="D38" s="301">
        <v>2.9034</v>
      </c>
      <c r="E38" s="301">
        <v>0.3694</v>
      </c>
      <c r="F38" s="301">
        <v>2.9165</v>
      </c>
      <c r="G38" s="301">
        <v>2.1934</v>
      </c>
      <c r="H38" s="301">
        <v>2.2528</v>
      </c>
      <c r="I38" s="301">
        <v>3.9295</v>
      </c>
      <c r="J38" s="301">
        <v>1.4489</v>
      </c>
      <c r="K38" s="301">
        <v>3.032</v>
      </c>
      <c r="L38" s="301">
        <v>4.6633</v>
      </c>
      <c r="M38" s="301">
        <v>0.3611</v>
      </c>
      <c r="N38" s="301">
        <v>3.4572</v>
      </c>
      <c r="O38" s="301">
        <v>0.1606</v>
      </c>
      <c r="P38" s="301">
        <v>0.5271</v>
      </c>
      <c r="R38" s="301">
        <v>2.4618</v>
      </c>
      <c r="S38" s="301">
        <v>0.5052</v>
      </c>
      <c r="U38" s="301">
        <v>0.4482</v>
      </c>
      <c r="V38" s="301">
        <v>0.5304</v>
      </c>
      <c r="W38" s="301">
        <v>0.9266</v>
      </c>
      <c r="X38" s="301">
        <v>2.0092</v>
      </c>
      <c r="Y38" s="301">
        <v>1.8159</v>
      </c>
      <c r="Z38" s="301">
        <v>1.138</v>
      </c>
      <c r="AA38" s="301">
        <v>5.5769</v>
      </c>
      <c r="AB38" s="301">
        <v>0.0662</v>
      </c>
      <c r="AC38" s="301">
        <v>0.2389</v>
      </c>
      <c r="AD38" s="301">
        <v>0.4023</v>
      </c>
      <c r="AE38" s="301">
        <v>1.7163</v>
      </c>
      <c r="AF38" s="301">
        <v>0.9476</v>
      </c>
      <c r="AG38" s="301">
        <v>0.0985</v>
      </c>
      <c r="AH38" s="301">
        <v>3.2549</v>
      </c>
      <c r="AI38" s="301">
        <v>0.2569</v>
      </c>
      <c r="AJ38" s="301">
        <v>0.4379</v>
      </c>
      <c r="AK38" s="301">
        <v>4.4931</v>
      </c>
      <c r="AL38" s="302">
        <v>35</v>
      </c>
      <c r="AM38" t="s">
        <v>411</v>
      </c>
    </row>
    <row r="39" spans="1:39" ht="12.75">
      <c r="A39" s="441">
        <v>40596</v>
      </c>
      <c r="B39" s="301">
        <v>0.0953</v>
      </c>
      <c r="C39" s="301">
        <v>2.9198</v>
      </c>
      <c r="D39" s="301">
        <v>2.9248</v>
      </c>
      <c r="E39" s="301">
        <v>0.3748</v>
      </c>
      <c r="F39" s="301">
        <v>2.9614</v>
      </c>
      <c r="G39" s="301">
        <v>2.1847</v>
      </c>
      <c r="H39" s="301">
        <v>2.2797</v>
      </c>
      <c r="I39" s="301">
        <v>3.9632</v>
      </c>
      <c r="J39" s="301">
        <v>1.4531</v>
      </c>
      <c r="K39" s="301">
        <v>3.0924</v>
      </c>
      <c r="L39" s="301">
        <v>4.717</v>
      </c>
      <c r="M39" s="301">
        <v>0.3675</v>
      </c>
      <c r="N39" s="301">
        <v>3.5235</v>
      </c>
      <c r="O39" s="301">
        <v>0.1617</v>
      </c>
      <c r="P39" s="301">
        <v>0.5316</v>
      </c>
      <c r="R39" s="301">
        <v>2.4758</v>
      </c>
      <c r="S39" s="301">
        <v>0.5106</v>
      </c>
      <c r="U39" s="301">
        <v>0.4495</v>
      </c>
      <c r="V39" s="301">
        <v>0.5349</v>
      </c>
      <c r="W39" s="301">
        <v>0.9358</v>
      </c>
      <c r="X39" s="301">
        <v>2.0264</v>
      </c>
      <c r="Y39" s="301">
        <v>1.8218</v>
      </c>
      <c r="Z39" s="301">
        <v>1.1478</v>
      </c>
      <c r="AA39" s="301">
        <v>5.6279</v>
      </c>
      <c r="AB39" s="301">
        <v>0.0668</v>
      </c>
      <c r="AC39" s="301">
        <v>0.241</v>
      </c>
      <c r="AD39" s="301">
        <v>0.4049</v>
      </c>
      <c r="AE39" s="301">
        <v>1.7503</v>
      </c>
      <c r="AF39" s="301">
        <v>0.9579</v>
      </c>
      <c r="AG39" s="301">
        <v>0.0997</v>
      </c>
      <c r="AH39" s="301">
        <v>3.27</v>
      </c>
      <c r="AI39" s="301">
        <v>0.2588</v>
      </c>
      <c r="AJ39" s="301">
        <v>0.4438</v>
      </c>
      <c r="AK39" s="301">
        <v>4.5316</v>
      </c>
      <c r="AL39" s="302">
        <v>36</v>
      </c>
      <c r="AM39" t="s">
        <v>411</v>
      </c>
    </row>
    <row r="40" spans="1:39" ht="12.75">
      <c r="A40" s="441">
        <v>40597</v>
      </c>
      <c r="B40" s="301">
        <v>0.0943</v>
      </c>
      <c r="C40" s="301">
        <v>2.8868</v>
      </c>
      <c r="D40" s="301">
        <v>2.8948</v>
      </c>
      <c r="E40" s="301">
        <v>0.3705</v>
      </c>
      <c r="F40" s="301">
        <v>2.9181</v>
      </c>
      <c r="G40" s="301">
        <v>2.1547</v>
      </c>
      <c r="H40" s="301">
        <v>2.2607</v>
      </c>
      <c r="I40" s="301">
        <v>3.9575</v>
      </c>
      <c r="J40" s="301">
        <v>1.451</v>
      </c>
      <c r="K40" s="301">
        <v>3.0773</v>
      </c>
      <c r="L40" s="301">
        <v>4.6901</v>
      </c>
      <c r="M40" s="301">
        <v>0.3634</v>
      </c>
      <c r="N40" s="301">
        <v>3.4906</v>
      </c>
      <c r="O40" s="301">
        <v>0.1614</v>
      </c>
      <c r="P40" s="301">
        <v>0.5308</v>
      </c>
      <c r="R40" s="301">
        <v>2.4697</v>
      </c>
      <c r="S40" s="301">
        <v>0.5114</v>
      </c>
      <c r="U40" s="301">
        <v>0.4505</v>
      </c>
      <c r="V40" s="301">
        <v>0.5336</v>
      </c>
      <c r="W40" s="301">
        <v>0.9365</v>
      </c>
      <c r="X40" s="301">
        <v>2.0235</v>
      </c>
      <c r="Y40" s="301">
        <v>1.8113</v>
      </c>
      <c r="Z40" s="301">
        <v>1.1461</v>
      </c>
      <c r="AA40" s="301">
        <v>5.6175</v>
      </c>
      <c r="AB40" s="301">
        <v>0.0663</v>
      </c>
      <c r="AC40" s="301">
        <v>0.2379</v>
      </c>
      <c r="AD40" s="301">
        <v>0.4053</v>
      </c>
      <c r="AE40" s="301">
        <v>1.7285</v>
      </c>
      <c r="AF40" s="301">
        <v>0.9477</v>
      </c>
      <c r="AG40" s="301">
        <v>0.0986</v>
      </c>
      <c r="AH40" s="301">
        <v>3.2613</v>
      </c>
      <c r="AI40" s="301">
        <v>0.2568</v>
      </c>
      <c r="AJ40" s="301">
        <v>0.4392</v>
      </c>
      <c r="AK40" s="301">
        <v>4.5267</v>
      </c>
      <c r="AL40" s="302">
        <v>37</v>
      </c>
      <c r="AM40" t="s">
        <v>411</v>
      </c>
    </row>
    <row r="41" spans="1:39" ht="12.75">
      <c r="A41" s="441">
        <v>40598</v>
      </c>
      <c r="B41" s="301">
        <v>0.0946</v>
      </c>
      <c r="C41" s="301">
        <v>2.8941</v>
      </c>
      <c r="D41" s="301">
        <v>2.9117</v>
      </c>
      <c r="E41" s="301">
        <v>0.3714</v>
      </c>
      <c r="F41" s="301">
        <v>2.9428</v>
      </c>
      <c r="G41" s="301">
        <v>2.1635</v>
      </c>
      <c r="H41" s="301">
        <v>2.2622</v>
      </c>
      <c r="I41" s="301">
        <v>3.9916</v>
      </c>
      <c r="J41" s="301">
        <v>1.4554</v>
      </c>
      <c r="K41" s="301">
        <v>3.1296</v>
      </c>
      <c r="L41" s="301">
        <v>4.6869</v>
      </c>
      <c r="M41" s="301">
        <v>0.3644</v>
      </c>
      <c r="N41" s="301">
        <v>3.5366</v>
      </c>
      <c r="O41" s="301">
        <v>0.1627</v>
      </c>
      <c r="P41" s="301">
        <v>0.5354</v>
      </c>
      <c r="R41" s="301">
        <v>2.4899</v>
      </c>
      <c r="S41" s="301">
        <v>0.5162</v>
      </c>
      <c r="U41" s="301">
        <v>0.4538</v>
      </c>
      <c r="V41" s="301">
        <v>0.538</v>
      </c>
      <c r="W41" s="301">
        <v>0.9419</v>
      </c>
      <c r="X41" s="301">
        <v>2.0409</v>
      </c>
      <c r="Y41" s="301">
        <v>1.8005</v>
      </c>
      <c r="Z41" s="301">
        <v>1.156</v>
      </c>
      <c r="AA41" s="301">
        <v>5.6659</v>
      </c>
      <c r="AB41" s="301">
        <v>0.0661</v>
      </c>
      <c r="AC41" s="301">
        <v>0.2375</v>
      </c>
      <c r="AD41" s="301">
        <v>0.4083</v>
      </c>
      <c r="AE41" s="301">
        <v>1.7289</v>
      </c>
      <c r="AF41" s="301">
        <v>0.9446</v>
      </c>
      <c r="AG41" s="301">
        <v>0.0995</v>
      </c>
      <c r="AH41" s="301">
        <v>3.2637</v>
      </c>
      <c r="AI41" s="301">
        <v>0.255</v>
      </c>
      <c r="AJ41" s="301">
        <v>0.4403</v>
      </c>
      <c r="AK41" s="301">
        <v>4.5565</v>
      </c>
      <c r="AL41" s="302">
        <v>38</v>
      </c>
      <c r="AM41" t="s">
        <v>411</v>
      </c>
    </row>
    <row r="42" spans="1:39" ht="12.75">
      <c r="A42" s="441">
        <v>40599</v>
      </c>
      <c r="B42" s="301">
        <v>0.094</v>
      </c>
      <c r="C42" s="301">
        <v>2.877</v>
      </c>
      <c r="D42" s="301">
        <v>2.9077</v>
      </c>
      <c r="E42" s="301">
        <v>0.3692</v>
      </c>
      <c r="F42" s="301">
        <v>2.9297</v>
      </c>
      <c r="G42" s="301">
        <v>2.1508</v>
      </c>
      <c r="H42" s="301">
        <v>2.2587</v>
      </c>
      <c r="I42" s="301">
        <v>3.9757</v>
      </c>
      <c r="J42" s="301">
        <v>1.4568</v>
      </c>
      <c r="K42" s="301">
        <v>3.1007</v>
      </c>
      <c r="L42" s="301">
        <v>4.6337</v>
      </c>
      <c r="M42" s="301">
        <v>0.3628</v>
      </c>
      <c r="N42" s="301">
        <v>3.5088</v>
      </c>
      <c r="O42" s="301">
        <v>0.1624</v>
      </c>
      <c r="P42" s="301">
        <v>0.5333</v>
      </c>
      <c r="R42" s="301">
        <v>2.4755</v>
      </c>
      <c r="S42" s="301">
        <v>0.5128</v>
      </c>
      <c r="U42" s="301">
        <v>0.4504</v>
      </c>
      <c r="V42" s="301">
        <v>0.5356</v>
      </c>
      <c r="W42" s="301">
        <v>0.9426</v>
      </c>
      <c r="X42" s="301">
        <v>2.0328</v>
      </c>
      <c r="Y42" s="301">
        <v>1.8</v>
      </c>
      <c r="Z42" s="301">
        <v>1.1514</v>
      </c>
      <c r="AA42" s="301">
        <v>5.6417</v>
      </c>
      <c r="AB42" s="301">
        <v>0.0658</v>
      </c>
      <c r="AC42" s="301">
        <v>0.2373</v>
      </c>
      <c r="AD42" s="301">
        <v>0.4096</v>
      </c>
      <c r="AE42" s="301">
        <v>1.7278</v>
      </c>
      <c r="AF42" s="301">
        <v>0.9424</v>
      </c>
      <c r="AG42" s="301">
        <v>0.0995</v>
      </c>
      <c r="AH42" s="301">
        <v>3.2538</v>
      </c>
      <c r="AI42" s="301">
        <v>0.2553</v>
      </c>
      <c r="AJ42" s="301">
        <v>0.4375</v>
      </c>
      <c r="AK42" s="301">
        <v>4.5297</v>
      </c>
      <c r="AL42" s="302">
        <v>39</v>
      </c>
      <c r="AM42" t="s">
        <v>411</v>
      </c>
    </row>
    <row r="43" spans="1:39" ht="12.75">
      <c r="A43" s="441">
        <v>40602</v>
      </c>
      <c r="B43" s="301">
        <v>0.0941</v>
      </c>
      <c r="C43" s="301">
        <v>2.8765</v>
      </c>
      <c r="D43" s="301">
        <v>2.9214</v>
      </c>
      <c r="E43" s="301">
        <v>0.3695</v>
      </c>
      <c r="F43" s="301">
        <v>2.9468</v>
      </c>
      <c r="G43" s="301">
        <v>2.1609</v>
      </c>
      <c r="H43" s="301">
        <v>2.2637</v>
      </c>
      <c r="I43" s="301">
        <v>3.9763</v>
      </c>
      <c r="J43" s="301">
        <v>1.4601</v>
      </c>
      <c r="K43" s="301">
        <v>3.1043</v>
      </c>
      <c r="L43" s="301">
        <v>4.6583</v>
      </c>
      <c r="M43" s="301">
        <v>0.362</v>
      </c>
      <c r="N43" s="301">
        <v>3.5178</v>
      </c>
      <c r="O43" s="301">
        <v>0.1628</v>
      </c>
      <c r="P43" s="301">
        <v>0.5333</v>
      </c>
      <c r="R43" s="301">
        <v>2.4782</v>
      </c>
      <c r="S43" s="301">
        <v>0.5137</v>
      </c>
      <c r="U43" s="301">
        <v>0.4524</v>
      </c>
      <c r="V43" s="301">
        <v>0.5353</v>
      </c>
      <c r="W43" s="301">
        <v>0.9436</v>
      </c>
      <c r="X43" s="301">
        <v>2.0331</v>
      </c>
      <c r="Y43" s="301">
        <v>1.7958</v>
      </c>
      <c r="Z43" s="301">
        <v>1.1516</v>
      </c>
      <c r="AA43" s="301">
        <v>5.6441</v>
      </c>
      <c r="AB43" s="301">
        <v>0.066</v>
      </c>
      <c r="AC43" s="301">
        <v>0.2376</v>
      </c>
      <c r="AD43" s="301">
        <v>0.412</v>
      </c>
      <c r="AE43" s="301">
        <v>1.7294</v>
      </c>
      <c r="AF43" s="301">
        <v>0.9429</v>
      </c>
      <c r="AG43" s="301">
        <v>0.0995</v>
      </c>
      <c r="AH43" s="301">
        <v>3.2609</v>
      </c>
      <c r="AI43" s="301">
        <v>0.2555</v>
      </c>
      <c r="AJ43" s="301">
        <v>0.4379</v>
      </c>
      <c r="AK43" s="301">
        <v>4.535</v>
      </c>
      <c r="AL43" s="302">
        <v>40</v>
      </c>
      <c r="AM43" t="s">
        <v>411</v>
      </c>
    </row>
    <row r="44" spans="1:39" ht="12.75">
      <c r="A44" s="441">
        <v>40603</v>
      </c>
      <c r="B44" s="301">
        <v>0.0938</v>
      </c>
      <c r="C44" s="301">
        <v>2.8643</v>
      </c>
      <c r="D44" s="301">
        <v>2.9172</v>
      </c>
      <c r="E44" s="301">
        <v>0.3678</v>
      </c>
      <c r="F44" s="301">
        <v>2.948</v>
      </c>
      <c r="G44" s="301">
        <v>2.1503</v>
      </c>
      <c r="H44" s="301">
        <v>2.2543</v>
      </c>
      <c r="I44" s="301">
        <v>3.9612</v>
      </c>
      <c r="J44" s="301">
        <v>1.4633</v>
      </c>
      <c r="K44" s="301">
        <v>3.0739</v>
      </c>
      <c r="L44" s="301">
        <v>4.6676</v>
      </c>
      <c r="M44" s="301">
        <v>0.3607</v>
      </c>
      <c r="N44" s="301">
        <v>3.488</v>
      </c>
      <c r="O44" s="301">
        <v>0.1625</v>
      </c>
      <c r="P44" s="301">
        <v>0.5313</v>
      </c>
      <c r="R44" s="301">
        <v>2.4703</v>
      </c>
      <c r="S44" s="301">
        <v>0.5123</v>
      </c>
      <c r="U44" s="301">
        <v>0.4545</v>
      </c>
      <c r="V44" s="301">
        <v>0.5337</v>
      </c>
      <c r="W44" s="301">
        <v>0.9416</v>
      </c>
      <c r="X44" s="301">
        <v>2.0253</v>
      </c>
      <c r="Y44" s="301">
        <v>1.7811</v>
      </c>
      <c r="Z44" s="301">
        <v>1.1472</v>
      </c>
      <c r="AA44" s="301">
        <v>5.6227</v>
      </c>
      <c r="AB44" s="301">
        <v>0.0659</v>
      </c>
      <c r="AC44" s="301">
        <v>0.2369</v>
      </c>
      <c r="AD44" s="301">
        <v>0.4115</v>
      </c>
      <c r="AE44" s="301">
        <v>1.7224</v>
      </c>
      <c r="AF44" s="301">
        <v>0.9436</v>
      </c>
      <c r="AG44" s="301">
        <v>0.0997</v>
      </c>
      <c r="AH44" s="301">
        <v>3.2492</v>
      </c>
      <c r="AI44" s="301">
        <v>0.2552</v>
      </c>
      <c r="AJ44" s="301">
        <v>0.4358</v>
      </c>
      <c r="AK44" s="301">
        <v>4.5042</v>
      </c>
      <c r="AL44" s="302">
        <v>41</v>
      </c>
      <c r="AM44" t="s">
        <v>411</v>
      </c>
    </row>
    <row r="45" spans="1:39" ht="12.75">
      <c r="A45" s="441">
        <v>40604</v>
      </c>
      <c r="B45" s="301">
        <v>0.0946</v>
      </c>
      <c r="C45" s="301">
        <v>2.8843</v>
      </c>
      <c r="D45" s="301">
        <v>2.9182</v>
      </c>
      <c r="E45" s="301">
        <v>0.3703</v>
      </c>
      <c r="F45" s="301">
        <v>2.9528</v>
      </c>
      <c r="G45" s="301">
        <v>2.1388</v>
      </c>
      <c r="H45" s="301">
        <v>2.2695</v>
      </c>
      <c r="I45" s="301">
        <v>3.9776</v>
      </c>
      <c r="J45" s="301">
        <v>1.4603</v>
      </c>
      <c r="K45" s="301">
        <v>3.113</v>
      </c>
      <c r="L45" s="301">
        <v>4.6953</v>
      </c>
      <c r="M45" s="301">
        <v>0.3628</v>
      </c>
      <c r="N45" s="301">
        <v>3.5198</v>
      </c>
      <c r="O45" s="301">
        <v>0.1633</v>
      </c>
      <c r="P45" s="301">
        <v>0.5335</v>
      </c>
      <c r="R45" s="301">
        <v>2.4846</v>
      </c>
      <c r="S45" s="301">
        <v>0.5151</v>
      </c>
      <c r="U45" s="301">
        <v>0.4556</v>
      </c>
      <c r="V45" s="301">
        <v>0.5358</v>
      </c>
      <c r="W45" s="301">
        <v>0.9458</v>
      </c>
      <c r="X45" s="301">
        <v>2.0337</v>
      </c>
      <c r="Y45" s="301">
        <v>1.7839</v>
      </c>
      <c r="Z45" s="301">
        <v>1.152</v>
      </c>
      <c r="AA45" s="301">
        <v>5.6412</v>
      </c>
      <c r="AB45" s="301">
        <v>0.0663</v>
      </c>
      <c r="AC45" s="301">
        <v>0.2376</v>
      </c>
      <c r="AD45" s="301">
        <v>0.4135</v>
      </c>
      <c r="AE45" s="301">
        <v>1.734</v>
      </c>
      <c r="AF45" s="301">
        <v>0.9499</v>
      </c>
      <c r="AG45" s="301">
        <v>0.101</v>
      </c>
      <c r="AH45" s="301">
        <v>3.2725</v>
      </c>
      <c r="AI45" s="301">
        <v>0.2559</v>
      </c>
      <c r="AJ45" s="301">
        <v>0.4388</v>
      </c>
      <c r="AK45" s="301">
        <v>4.5254</v>
      </c>
      <c r="AL45" s="302">
        <v>42</v>
      </c>
      <c r="AM45" t="s">
        <v>411</v>
      </c>
    </row>
    <row r="46" spans="1:39" ht="12.75">
      <c r="A46" s="441">
        <v>40605</v>
      </c>
      <c r="B46" s="301">
        <v>0.0943</v>
      </c>
      <c r="C46" s="301">
        <v>2.8704</v>
      </c>
      <c r="D46" s="301">
        <v>2.9171</v>
      </c>
      <c r="E46" s="301">
        <v>0.3686</v>
      </c>
      <c r="F46" s="301">
        <v>2.9472</v>
      </c>
      <c r="G46" s="301">
        <v>2.1406</v>
      </c>
      <c r="H46" s="301">
        <v>2.2627</v>
      </c>
      <c r="I46" s="301">
        <v>3.9773</v>
      </c>
      <c r="J46" s="301">
        <v>1.4669</v>
      </c>
      <c r="K46" s="301">
        <v>3.0993</v>
      </c>
      <c r="L46" s="301">
        <v>4.6701</v>
      </c>
      <c r="M46" s="301">
        <v>0.3612</v>
      </c>
      <c r="N46" s="301">
        <v>3.5067</v>
      </c>
      <c r="O46" s="301">
        <v>0.1639</v>
      </c>
      <c r="P46" s="301">
        <v>0.5334</v>
      </c>
      <c r="R46" s="301">
        <v>2.4802</v>
      </c>
      <c r="S46" s="301">
        <v>0.517</v>
      </c>
      <c r="U46" s="301">
        <v>0.4553</v>
      </c>
      <c r="V46" s="301">
        <v>0.5367</v>
      </c>
      <c r="W46" s="301">
        <v>0.9469</v>
      </c>
      <c r="X46" s="301">
        <v>2.0336</v>
      </c>
      <c r="Y46" s="301">
        <v>1.777</v>
      </c>
      <c r="Z46" s="301">
        <v>1.1519</v>
      </c>
      <c r="AA46" s="301">
        <v>5.6448</v>
      </c>
      <c r="AB46" s="301">
        <v>0.0662</v>
      </c>
      <c r="AC46" s="301">
        <v>0.2375</v>
      </c>
      <c r="AD46" s="301">
        <v>0.4167</v>
      </c>
      <c r="AE46" s="301">
        <v>1.7318</v>
      </c>
      <c r="AF46" s="301">
        <v>0.947</v>
      </c>
      <c r="AG46" s="301">
        <v>0.1015</v>
      </c>
      <c r="AH46" s="301">
        <v>3.2597</v>
      </c>
      <c r="AI46" s="301">
        <v>0.2559</v>
      </c>
      <c r="AJ46" s="301">
        <v>0.4368</v>
      </c>
      <c r="AK46" s="301">
        <v>4.5322</v>
      </c>
      <c r="AL46" s="302">
        <v>43</v>
      </c>
      <c r="AM46" t="s">
        <v>411</v>
      </c>
    </row>
    <row r="47" spans="1:39" ht="12.75">
      <c r="A47" s="441">
        <v>40606</v>
      </c>
      <c r="B47" s="301">
        <v>0.0939</v>
      </c>
      <c r="C47" s="301">
        <v>2.8646</v>
      </c>
      <c r="D47" s="301">
        <v>2.9017</v>
      </c>
      <c r="E47" s="301">
        <v>0.3678</v>
      </c>
      <c r="F47" s="301">
        <v>2.9416</v>
      </c>
      <c r="G47" s="301">
        <v>2.1095</v>
      </c>
      <c r="H47" s="301">
        <v>2.2609</v>
      </c>
      <c r="I47" s="301">
        <v>3.9988</v>
      </c>
      <c r="J47" s="301">
        <v>1.4651</v>
      </c>
      <c r="K47" s="301">
        <v>3.0794</v>
      </c>
      <c r="L47" s="301">
        <v>4.6519</v>
      </c>
      <c r="M47" s="301">
        <v>0.3607</v>
      </c>
      <c r="N47" s="301">
        <v>3.471</v>
      </c>
      <c r="O47" s="301">
        <v>0.1648</v>
      </c>
      <c r="P47" s="301">
        <v>0.5363</v>
      </c>
      <c r="R47" s="301">
        <v>2.4833</v>
      </c>
      <c r="S47" s="301">
        <v>0.5137</v>
      </c>
      <c r="U47" s="301">
        <v>0.4535</v>
      </c>
      <c r="V47" s="301">
        <v>0.5397</v>
      </c>
      <c r="W47" s="301">
        <v>0.9486</v>
      </c>
      <c r="X47" s="301">
        <v>2.0446</v>
      </c>
      <c r="Y47" s="301">
        <v>1.7905</v>
      </c>
      <c r="Z47" s="301">
        <v>1.1581</v>
      </c>
      <c r="AA47" s="301">
        <v>5.6664</v>
      </c>
      <c r="AB47" s="301">
        <v>0.0662</v>
      </c>
      <c r="AC47" s="301">
        <v>0.2389</v>
      </c>
      <c r="AD47" s="301">
        <v>0.4144</v>
      </c>
      <c r="AE47" s="301">
        <v>1.7374</v>
      </c>
      <c r="AF47" s="301">
        <v>0.9456</v>
      </c>
      <c r="AG47" s="301">
        <v>0.1016</v>
      </c>
      <c r="AH47" s="301">
        <v>3.2587</v>
      </c>
      <c r="AI47" s="301">
        <v>0.257</v>
      </c>
      <c r="AJ47" s="301">
        <v>0.4362</v>
      </c>
      <c r="AK47" s="301">
        <v>4.5483</v>
      </c>
      <c r="AL47" s="302">
        <v>44</v>
      </c>
      <c r="AM47" t="s">
        <v>411</v>
      </c>
    </row>
    <row r="48" spans="1:39" ht="12.75">
      <c r="A48" s="441">
        <v>40609</v>
      </c>
      <c r="B48" s="301">
        <v>0.0933</v>
      </c>
      <c r="C48" s="301">
        <v>2.8372</v>
      </c>
      <c r="D48" s="301">
        <v>2.8838</v>
      </c>
      <c r="E48" s="301">
        <v>0.3644</v>
      </c>
      <c r="F48" s="301">
        <v>2.9226</v>
      </c>
      <c r="G48" s="301">
        <v>2.0949</v>
      </c>
      <c r="H48" s="301">
        <v>2.2439</v>
      </c>
      <c r="I48" s="301">
        <v>3.9795</v>
      </c>
      <c r="J48" s="301">
        <v>1.4662</v>
      </c>
      <c r="K48" s="301">
        <v>3.0658</v>
      </c>
      <c r="L48" s="301">
        <v>4.6308</v>
      </c>
      <c r="M48" s="301">
        <v>0.3589</v>
      </c>
      <c r="N48" s="301">
        <v>3.4562</v>
      </c>
      <c r="O48" s="301">
        <v>0.164</v>
      </c>
      <c r="P48" s="301">
        <v>0.5337</v>
      </c>
      <c r="R48" s="301">
        <v>2.4675</v>
      </c>
      <c r="S48" s="301">
        <v>0.5111</v>
      </c>
      <c r="U48" s="301">
        <v>0.4484</v>
      </c>
      <c r="V48" s="301">
        <v>0.5374</v>
      </c>
      <c r="W48" s="301">
        <v>0.9461</v>
      </c>
      <c r="X48" s="301">
        <v>2.0347</v>
      </c>
      <c r="Y48" s="301">
        <v>1.7722</v>
      </c>
      <c r="Z48" s="301">
        <v>1.1525</v>
      </c>
      <c r="AA48" s="301">
        <v>5.6367</v>
      </c>
      <c r="AB48" s="301">
        <v>0.0656</v>
      </c>
      <c r="AC48" s="301">
        <v>0.2363</v>
      </c>
      <c r="AD48" s="301">
        <v>0.4122</v>
      </c>
      <c r="AE48" s="301">
        <v>1.7141</v>
      </c>
      <c r="AF48" s="301">
        <v>0.9358</v>
      </c>
      <c r="AG48" s="301">
        <v>0.1009</v>
      </c>
      <c r="AH48" s="301">
        <v>3.2371</v>
      </c>
      <c r="AI48" s="301">
        <v>0.2539</v>
      </c>
      <c r="AJ48" s="301">
        <v>0.4327</v>
      </c>
      <c r="AK48" s="301">
        <v>4.4999</v>
      </c>
      <c r="AL48" s="302">
        <v>45</v>
      </c>
      <c r="AM48" t="s">
        <v>411</v>
      </c>
    </row>
    <row r="49" spans="1:39" ht="12.75">
      <c r="A49" s="441">
        <v>40610</v>
      </c>
      <c r="B49" s="301">
        <v>0.0941</v>
      </c>
      <c r="C49" s="301">
        <v>2.8549</v>
      </c>
      <c r="D49" s="301">
        <v>2.8865</v>
      </c>
      <c r="E49" s="301">
        <v>0.3665</v>
      </c>
      <c r="F49" s="301">
        <v>2.9379</v>
      </c>
      <c r="G49" s="301">
        <v>2.1124</v>
      </c>
      <c r="H49" s="301">
        <v>2.2509</v>
      </c>
      <c r="I49" s="301">
        <v>3.9756</v>
      </c>
      <c r="J49" s="301">
        <v>1.4668</v>
      </c>
      <c r="K49" s="301">
        <v>3.0627</v>
      </c>
      <c r="L49" s="301">
        <v>4.6185</v>
      </c>
      <c r="M49" s="301">
        <v>0.3586</v>
      </c>
      <c r="N49" s="301">
        <v>3.4608</v>
      </c>
      <c r="O49" s="301">
        <v>0.1643</v>
      </c>
      <c r="P49" s="301">
        <v>0.5331</v>
      </c>
      <c r="R49" s="301">
        <v>2.4617</v>
      </c>
      <c r="S49" s="301">
        <v>0.5121</v>
      </c>
      <c r="U49" s="301">
        <v>0.4491</v>
      </c>
      <c r="V49" s="301">
        <v>0.5369</v>
      </c>
      <c r="W49" s="301">
        <v>0.9496</v>
      </c>
      <c r="X49" s="301">
        <v>2.0327</v>
      </c>
      <c r="Y49" s="301">
        <v>1.7929</v>
      </c>
      <c r="Z49" s="301">
        <v>1.1514</v>
      </c>
      <c r="AA49" s="301">
        <v>5.6304</v>
      </c>
      <c r="AB49" s="301">
        <v>0.0657</v>
      </c>
      <c r="AC49" s="301">
        <v>0.2368</v>
      </c>
      <c r="AD49" s="301">
        <v>0.4142</v>
      </c>
      <c r="AE49" s="301">
        <v>1.7262</v>
      </c>
      <c r="AF49" s="301">
        <v>0.9408</v>
      </c>
      <c r="AG49" s="301">
        <v>0.1008</v>
      </c>
      <c r="AH49" s="301">
        <v>3.2492</v>
      </c>
      <c r="AI49" s="301">
        <v>0.2553</v>
      </c>
      <c r="AJ49" s="301">
        <v>0.4345</v>
      </c>
      <c r="AK49" s="301">
        <v>4.4838</v>
      </c>
      <c r="AL49" s="302">
        <v>46</v>
      </c>
      <c r="AM49" t="s">
        <v>411</v>
      </c>
    </row>
    <row r="50" spans="1:39" ht="12.75">
      <c r="A50" s="441">
        <v>40611</v>
      </c>
      <c r="B50" s="301">
        <v>0.0946</v>
      </c>
      <c r="C50" s="301">
        <v>2.8644</v>
      </c>
      <c r="D50" s="301">
        <v>2.8922</v>
      </c>
      <c r="E50" s="301">
        <v>0.3677</v>
      </c>
      <c r="F50" s="301">
        <v>2.9489</v>
      </c>
      <c r="G50" s="301">
        <v>2.1203</v>
      </c>
      <c r="H50" s="301">
        <v>2.2578</v>
      </c>
      <c r="I50" s="301">
        <v>3.9758</v>
      </c>
      <c r="J50" s="301">
        <v>1.4563</v>
      </c>
      <c r="K50" s="301">
        <v>3.0698</v>
      </c>
      <c r="L50" s="301">
        <v>4.636</v>
      </c>
      <c r="M50" s="301">
        <v>0.3608</v>
      </c>
      <c r="N50" s="301">
        <v>3.4577</v>
      </c>
      <c r="O50" s="301">
        <v>0.1635</v>
      </c>
      <c r="P50" s="301">
        <v>0.533</v>
      </c>
      <c r="R50" s="301">
        <v>2.463</v>
      </c>
      <c r="S50" s="301">
        <v>0.5135</v>
      </c>
      <c r="U50" s="301">
        <v>0.4513</v>
      </c>
      <c r="V50" s="301">
        <v>0.5371</v>
      </c>
      <c r="W50" s="301">
        <v>0.9488</v>
      </c>
      <c r="X50" s="301">
        <v>2.0328</v>
      </c>
      <c r="Y50" s="301">
        <v>1.8019</v>
      </c>
      <c r="Z50" s="301">
        <v>1.1514</v>
      </c>
      <c r="AA50" s="301">
        <v>5.6346</v>
      </c>
      <c r="AB50" s="301">
        <v>0.066</v>
      </c>
      <c r="AC50" s="301">
        <v>0.2381</v>
      </c>
      <c r="AD50" s="301">
        <v>0.4149</v>
      </c>
      <c r="AE50" s="301">
        <v>1.7321</v>
      </c>
      <c r="AF50" s="301">
        <v>0.9444</v>
      </c>
      <c r="AG50" s="301">
        <v>0.1012</v>
      </c>
      <c r="AH50" s="301">
        <v>3.2341</v>
      </c>
      <c r="AI50" s="301">
        <v>0.2568</v>
      </c>
      <c r="AJ50" s="301">
        <v>0.4366</v>
      </c>
      <c r="AK50" s="301">
        <v>4.5068</v>
      </c>
      <c r="AL50" s="302">
        <v>47</v>
      </c>
      <c r="AM50" t="s">
        <v>411</v>
      </c>
    </row>
    <row r="51" spans="1:39" ht="12.75">
      <c r="A51" s="441">
        <v>40612</v>
      </c>
      <c r="B51" s="301">
        <v>0.0951</v>
      </c>
      <c r="C51" s="301">
        <v>2.8849</v>
      </c>
      <c r="D51" s="301">
        <v>2.8961</v>
      </c>
      <c r="E51" s="301">
        <v>0.3703</v>
      </c>
      <c r="F51" s="301">
        <v>2.9772</v>
      </c>
      <c r="G51" s="301">
        <v>2.1221</v>
      </c>
      <c r="H51" s="301">
        <v>2.2691</v>
      </c>
      <c r="I51" s="301">
        <v>3.9915</v>
      </c>
      <c r="J51" s="301">
        <v>1.4637</v>
      </c>
      <c r="K51" s="301">
        <v>3.0929</v>
      </c>
      <c r="L51" s="301">
        <v>4.6641</v>
      </c>
      <c r="M51" s="301">
        <v>0.3634</v>
      </c>
      <c r="N51" s="301">
        <v>3.4784</v>
      </c>
      <c r="O51" s="301">
        <v>0.1642</v>
      </c>
      <c r="P51" s="301">
        <v>0.5352</v>
      </c>
      <c r="R51" s="301">
        <v>2.4754</v>
      </c>
      <c r="S51" s="301">
        <v>0.5138</v>
      </c>
      <c r="U51" s="301">
        <v>0.453</v>
      </c>
      <c r="V51" s="301">
        <v>0.54</v>
      </c>
      <c r="W51" s="301">
        <v>0.9515</v>
      </c>
      <c r="X51" s="301">
        <v>2.0409</v>
      </c>
      <c r="Y51" s="301">
        <v>1.8199</v>
      </c>
      <c r="Z51" s="301">
        <v>1.156</v>
      </c>
      <c r="AA51" s="301">
        <v>5.6497</v>
      </c>
      <c r="AB51" s="301">
        <v>0.0663</v>
      </c>
      <c r="AC51" s="301">
        <v>0.2418</v>
      </c>
      <c r="AD51" s="301">
        <v>0.4183</v>
      </c>
      <c r="AE51" s="301">
        <v>1.7445</v>
      </c>
      <c r="AF51" s="301">
        <v>0.9504</v>
      </c>
      <c r="AG51" s="301">
        <v>0.1013</v>
      </c>
      <c r="AH51" s="301">
        <v>3.2468</v>
      </c>
      <c r="AI51" s="301">
        <v>0.2573</v>
      </c>
      <c r="AJ51" s="301">
        <v>0.4388</v>
      </c>
      <c r="AK51" s="301">
        <v>4.5155</v>
      </c>
      <c r="AL51" s="302">
        <v>48</v>
      </c>
      <c r="AM51" t="s">
        <v>411</v>
      </c>
    </row>
    <row r="52" spans="1:39" ht="12.75">
      <c r="A52" s="441">
        <v>40613</v>
      </c>
      <c r="B52" s="301">
        <v>0.096</v>
      </c>
      <c r="C52" s="301">
        <v>2.9212</v>
      </c>
      <c r="D52" s="301">
        <v>2.9185</v>
      </c>
      <c r="E52" s="301">
        <v>0.3749</v>
      </c>
      <c r="F52" s="301">
        <v>3.0012</v>
      </c>
      <c r="G52" s="301">
        <v>2.1512</v>
      </c>
      <c r="H52" s="301">
        <v>2.2942</v>
      </c>
      <c r="I52" s="301">
        <v>4.0316</v>
      </c>
      <c r="J52" s="301">
        <v>1.4722</v>
      </c>
      <c r="K52" s="301">
        <v>3.1277</v>
      </c>
      <c r="L52" s="301">
        <v>4.6787</v>
      </c>
      <c r="M52" s="301">
        <v>0.3673</v>
      </c>
      <c r="N52" s="301">
        <v>3.536</v>
      </c>
      <c r="O52" s="301">
        <v>0.1656</v>
      </c>
      <c r="P52" s="301">
        <v>0.5406</v>
      </c>
      <c r="R52" s="301">
        <v>2.5025</v>
      </c>
      <c r="S52" s="301">
        <v>0.5159</v>
      </c>
      <c r="U52" s="301">
        <v>0.4567</v>
      </c>
      <c r="V52" s="301">
        <v>0.5453</v>
      </c>
      <c r="W52" s="301">
        <v>0.9588</v>
      </c>
      <c r="X52" s="301">
        <v>2.0614</v>
      </c>
      <c r="Y52" s="301">
        <v>1.8455</v>
      </c>
      <c r="Z52" s="301">
        <v>1.1676</v>
      </c>
      <c r="AA52" s="301">
        <v>5.7064</v>
      </c>
      <c r="AB52" s="301">
        <v>0.067</v>
      </c>
      <c r="AC52" s="301">
        <v>0.2436</v>
      </c>
      <c r="AD52" s="301">
        <v>0.421</v>
      </c>
      <c r="AE52" s="301">
        <v>1.7596</v>
      </c>
      <c r="AF52" s="301">
        <v>0.9609</v>
      </c>
      <c r="AG52" s="301">
        <v>0.1018</v>
      </c>
      <c r="AH52" s="301">
        <v>3.3279</v>
      </c>
      <c r="AI52" s="301">
        <v>0.2592</v>
      </c>
      <c r="AJ52" s="301">
        <v>0.4443</v>
      </c>
      <c r="AK52" s="301">
        <v>4.583</v>
      </c>
      <c r="AL52" s="302">
        <v>49</v>
      </c>
      <c r="AM52" t="s">
        <v>411</v>
      </c>
    </row>
    <row r="53" spans="1:39" ht="12.75">
      <c r="A53" s="441">
        <v>40616</v>
      </c>
      <c r="B53" s="301">
        <v>0.0951</v>
      </c>
      <c r="C53" s="301">
        <v>2.8825</v>
      </c>
      <c r="D53" s="301">
        <v>2.9071</v>
      </c>
      <c r="E53" s="301">
        <v>0.3698</v>
      </c>
      <c r="F53" s="301">
        <v>2.9651</v>
      </c>
      <c r="G53" s="301">
        <v>2.1269</v>
      </c>
      <c r="H53" s="301">
        <v>2.274</v>
      </c>
      <c r="I53" s="301">
        <v>4.0211</v>
      </c>
      <c r="J53" s="301">
        <v>1.4751</v>
      </c>
      <c r="K53" s="301">
        <v>3.1057</v>
      </c>
      <c r="L53" s="301">
        <v>4.6406</v>
      </c>
      <c r="M53" s="301">
        <v>0.3632</v>
      </c>
      <c r="N53" s="301">
        <v>3.5197</v>
      </c>
      <c r="O53" s="301">
        <v>0.1653</v>
      </c>
      <c r="P53" s="301">
        <v>0.5392</v>
      </c>
      <c r="R53" s="301">
        <v>2.4929</v>
      </c>
      <c r="S53" s="301">
        <v>0.5136</v>
      </c>
      <c r="U53" s="301">
        <v>0.4544</v>
      </c>
      <c r="V53" s="301">
        <v>0.5439</v>
      </c>
      <c r="W53" s="301">
        <v>0.9608</v>
      </c>
      <c r="X53" s="301">
        <v>2.056</v>
      </c>
      <c r="Y53" s="301">
        <v>1.8241</v>
      </c>
      <c r="Z53" s="301">
        <v>1.1646</v>
      </c>
      <c r="AA53" s="301">
        <v>5.6932</v>
      </c>
      <c r="AB53" s="301">
        <v>0.0661</v>
      </c>
      <c r="AC53" s="301">
        <v>0.2418</v>
      </c>
      <c r="AD53" s="301">
        <v>0.4195</v>
      </c>
      <c r="AE53" s="301">
        <v>1.7295</v>
      </c>
      <c r="AF53" s="301">
        <v>0.9487</v>
      </c>
      <c r="AG53" s="301">
        <v>0.1008</v>
      </c>
      <c r="AH53" s="301">
        <v>3.2886</v>
      </c>
      <c r="AI53" s="301">
        <v>0.2555</v>
      </c>
      <c r="AJ53" s="301">
        <v>0.4387</v>
      </c>
      <c r="AK53" s="301">
        <v>4.5763</v>
      </c>
      <c r="AL53" s="302">
        <v>50</v>
      </c>
      <c r="AM53" t="s">
        <v>411</v>
      </c>
    </row>
    <row r="54" spans="1:39" ht="12.75">
      <c r="A54" s="441">
        <v>40617</v>
      </c>
      <c r="B54" s="301">
        <v>0.0961</v>
      </c>
      <c r="C54" s="301">
        <v>2.9284</v>
      </c>
      <c r="D54" s="301">
        <v>2.892</v>
      </c>
      <c r="E54" s="301">
        <v>0.3755</v>
      </c>
      <c r="F54" s="301">
        <v>2.9646</v>
      </c>
      <c r="G54" s="301">
        <v>2.1332</v>
      </c>
      <c r="H54" s="301">
        <v>2.2879</v>
      </c>
      <c r="I54" s="301">
        <v>4.0618</v>
      </c>
      <c r="J54" s="301">
        <v>1.4851</v>
      </c>
      <c r="K54" s="301">
        <v>3.1764</v>
      </c>
      <c r="L54" s="301">
        <v>4.6862</v>
      </c>
      <c r="M54" s="301">
        <v>0.3681</v>
      </c>
      <c r="N54" s="301">
        <v>3.5929</v>
      </c>
      <c r="O54" s="301">
        <v>0.1668</v>
      </c>
      <c r="P54" s="301">
        <v>0.5446</v>
      </c>
      <c r="R54" s="301">
        <v>2.5205</v>
      </c>
      <c r="S54" s="301">
        <v>0.5143</v>
      </c>
      <c r="U54" s="301">
        <v>0.4536</v>
      </c>
      <c r="V54" s="301">
        <v>0.5498</v>
      </c>
      <c r="W54" s="301">
        <v>0.9702</v>
      </c>
      <c r="X54" s="301">
        <v>2.0768</v>
      </c>
      <c r="Y54" s="301">
        <v>1.8466</v>
      </c>
      <c r="Z54" s="301">
        <v>1.1763</v>
      </c>
      <c r="AA54" s="301">
        <v>5.7476</v>
      </c>
      <c r="AB54" s="301">
        <v>0.0668</v>
      </c>
      <c r="AC54" s="301">
        <v>0.2429</v>
      </c>
      <c r="AD54" s="301">
        <v>0.4187</v>
      </c>
      <c r="AE54" s="301">
        <v>1.7653</v>
      </c>
      <c r="AF54" s="301">
        <v>0.9544</v>
      </c>
      <c r="AG54" s="301">
        <v>0.1016</v>
      </c>
      <c r="AH54" s="301">
        <v>3.34</v>
      </c>
      <c r="AI54" s="301">
        <v>0.2577</v>
      </c>
      <c r="AJ54" s="301">
        <v>0.4457</v>
      </c>
      <c r="AK54" s="301">
        <v>4.5926</v>
      </c>
      <c r="AL54" s="302">
        <v>51</v>
      </c>
      <c r="AM54" t="s">
        <v>411</v>
      </c>
    </row>
    <row r="55" spans="1:39" ht="12.75">
      <c r="A55" s="441">
        <v>40618</v>
      </c>
      <c r="B55" s="301">
        <v>0.0955</v>
      </c>
      <c r="C55" s="301">
        <v>2.9052</v>
      </c>
      <c r="D55" s="301">
        <v>2.8823</v>
      </c>
      <c r="E55" s="301">
        <v>0.3726</v>
      </c>
      <c r="F55" s="301">
        <v>2.9573</v>
      </c>
      <c r="G55" s="301">
        <v>2.1281</v>
      </c>
      <c r="H55" s="301">
        <v>2.2722</v>
      </c>
      <c r="I55" s="301">
        <v>4.0557</v>
      </c>
      <c r="J55" s="301">
        <v>1.4807</v>
      </c>
      <c r="K55" s="301">
        <v>3.1668</v>
      </c>
      <c r="L55" s="301">
        <v>4.6754</v>
      </c>
      <c r="M55" s="301">
        <v>0.3647</v>
      </c>
      <c r="N55" s="301">
        <v>3.5995</v>
      </c>
      <c r="O55" s="301">
        <v>0.1663</v>
      </c>
      <c r="P55" s="301">
        <v>0.5438</v>
      </c>
      <c r="R55" s="301">
        <v>2.5152</v>
      </c>
      <c r="S55" s="301">
        <v>0.5132</v>
      </c>
      <c r="U55" s="301">
        <v>0.4524</v>
      </c>
      <c r="V55" s="301">
        <v>0.5499</v>
      </c>
      <c r="W55" s="301">
        <v>0.9702</v>
      </c>
      <c r="X55" s="301">
        <v>2.0737</v>
      </c>
      <c r="Y55" s="301">
        <v>1.8354</v>
      </c>
      <c r="Z55" s="301">
        <v>1.1746</v>
      </c>
      <c r="AA55" s="301">
        <v>5.7381</v>
      </c>
      <c r="AB55" s="301">
        <v>0.0664</v>
      </c>
      <c r="AC55" s="301">
        <v>0.2418</v>
      </c>
      <c r="AD55" s="301">
        <v>0.4155</v>
      </c>
      <c r="AE55" s="301">
        <v>1.7449</v>
      </c>
      <c r="AF55" s="301">
        <v>0.9525</v>
      </c>
      <c r="AG55" s="301">
        <v>0.1013</v>
      </c>
      <c r="AH55" s="301">
        <v>3.3097</v>
      </c>
      <c r="AI55" s="301">
        <v>0.2564</v>
      </c>
      <c r="AJ55" s="301">
        <v>0.4421</v>
      </c>
      <c r="AK55" s="301">
        <v>4.5976</v>
      </c>
      <c r="AL55" s="302">
        <v>52</v>
      </c>
      <c r="AM55" t="s">
        <v>411</v>
      </c>
    </row>
    <row r="56" spans="1:39" ht="12.75">
      <c r="A56" s="441">
        <v>40619</v>
      </c>
      <c r="B56" s="301">
        <v>0.0958</v>
      </c>
      <c r="C56" s="301">
        <v>2.9077</v>
      </c>
      <c r="D56" s="301">
        <v>2.859</v>
      </c>
      <c r="E56" s="301">
        <v>0.3727</v>
      </c>
      <c r="F56" s="301">
        <v>2.9379</v>
      </c>
      <c r="G56" s="301">
        <v>2.0965</v>
      </c>
      <c r="H56" s="301">
        <v>2.2703</v>
      </c>
      <c r="I56" s="301">
        <v>4.08</v>
      </c>
      <c r="J56" s="301">
        <v>1.4907</v>
      </c>
      <c r="K56" s="301">
        <v>3.2211</v>
      </c>
      <c r="L56" s="301">
        <v>4.6932</v>
      </c>
      <c r="M56" s="301">
        <v>0.3663</v>
      </c>
      <c r="N56" s="301">
        <v>3.6941</v>
      </c>
      <c r="O56" s="301">
        <v>0.1672</v>
      </c>
      <c r="P56" s="301">
        <v>0.547</v>
      </c>
      <c r="R56" s="301">
        <v>2.5245</v>
      </c>
      <c r="S56" s="301">
        <v>0.5174</v>
      </c>
      <c r="U56" s="301">
        <v>0.4529</v>
      </c>
      <c r="V56" s="301">
        <v>0.5534</v>
      </c>
      <c r="W56" s="301">
        <v>0.9763</v>
      </c>
      <c r="X56" s="301">
        <v>2.0861</v>
      </c>
      <c r="Y56" s="301">
        <v>1.8315</v>
      </c>
      <c r="Z56" s="301">
        <v>1.1816</v>
      </c>
      <c r="AA56" s="301">
        <v>5.7741</v>
      </c>
      <c r="AB56" s="301">
        <v>0.0661</v>
      </c>
      <c r="AC56" s="301">
        <v>0.2393</v>
      </c>
      <c r="AD56" s="301">
        <v>0.4126</v>
      </c>
      <c r="AE56" s="301">
        <v>1.7351</v>
      </c>
      <c r="AF56" s="301">
        <v>0.9511</v>
      </c>
      <c r="AG56" s="301">
        <v>0.1017</v>
      </c>
      <c r="AH56" s="301">
        <v>3.3088</v>
      </c>
      <c r="AI56" s="301">
        <v>0.2562</v>
      </c>
      <c r="AJ56" s="301">
        <v>0.4418</v>
      </c>
      <c r="AK56" s="301">
        <v>4.6162</v>
      </c>
      <c r="AL56" s="302">
        <v>53</v>
      </c>
      <c r="AM56" t="s">
        <v>411</v>
      </c>
    </row>
    <row r="57" spans="1:39" ht="12.75">
      <c r="A57" s="441">
        <v>40620</v>
      </c>
      <c r="B57" s="301">
        <v>0.0951</v>
      </c>
      <c r="C57" s="301">
        <v>2.885</v>
      </c>
      <c r="D57" s="301">
        <v>2.8554</v>
      </c>
      <c r="E57" s="301">
        <v>0.3699</v>
      </c>
      <c r="F57" s="301">
        <v>2.9372</v>
      </c>
      <c r="G57" s="301">
        <v>2.0937</v>
      </c>
      <c r="H57" s="301">
        <v>2.2581</v>
      </c>
      <c r="I57" s="301">
        <v>4.0615</v>
      </c>
      <c r="J57" s="301">
        <v>1.4837</v>
      </c>
      <c r="K57" s="301">
        <v>3.1933</v>
      </c>
      <c r="L57" s="301">
        <v>4.6407</v>
      </c>
      <c r="M57" s="301">
        <v>0.3632</v>
      </c>
      <c r="N57" s="301">
        <v>3.5414</v>
      </c>
      <c r="O57" s="301">
        <v>0.1664</v>
      </c>
      <c r="P57" s="301">
        <v>0.5446</v>
      </c>
      <c r="R57" s="301">
        <v>2.5131</v>
      </c>
      <c r="S57" s="301">
        <v>0.5139</v>
      </c>
      <c r="U57" s="301">
        <v>0.4514</v>
      </c>
      <c r="V57" s="301">
        <v>0.5496</v>
      </c>
      <c r="W57" s="301">
        <v>0.9744</v>
      </c>
      <c r="X57" s="301">
        <v>2.0766</v>
      </c>
      <c r="Y57" s="301">
        <v>1.8198</v>
      </c>
      <c r="Z57" s="301">
        <v>1.1763</v>
      </c>
      <c r="AA57" s="301">
        <v>5.7447</v>
      </c>
      <c r="AB57" s="301">
        <v>0.066</v>
      </c>
      <c r="AC57" s="301">
        <v>0.2385</v>
      </c>
      <c r="AD57" s="301">
        <v>0.4088</v>
      </c>
      <c r="AE57" s="301">
        <v>1.7188</v>
      </c>
      <c r="AF57" s="301">
        <v>0.9451</v>
      </c>
      <c r="AG57" s="301">
        <v>0.1014</v>
      </c>
      <c r="AH57" s="301">
        <v>3.2903</v>
      </c>
      <c r="AI57" s="301">
        <v>0.2561</v>
      </c>
      <c r="AJ57" s="301">
        <v>0.4392</v>
      </c>
      <c r="AK57" s="301">
        <v>4.6002</v>
      </c>
      <c r="AL57" s="302">
        <v>54</v>
      </c>
      <c r="AM57" t="s">
        <v>411</v>
      </c>
    </row>
    <row r="58" spans="1:39" ht="12.75">
      <c r="A58" s="441">
        <v>40623</v>
      </c>
      <c r="B58" s="301">
        <v>0.0945</v>
      </c>
      <c r="C58" s="301">
        <v>2.8588</v>
      </c>
      <c r="D58" s="301">
        <v>2.8723</v>
      </c>
      <c r="E58" s="301">
        <v>0.3666</v>
      </c>
      <c r="F58" s="301">
        <v>2.9198</v>
      </c>
      <c r="G58" s="301">
        <v>2.1018</v>
      </c>
      <c r="H58" s="301">
        <v>2.2554</v>
      </c>
      <c r="I58" s="301">
        <v>4.0477</v>
      </c>
      <c r="J58" s="301">
        <v>1.4911</v>
      </c>
      <c r="K58" s="301">
        <v>3.1567</v>
      </c>
      <c r="L58" s="301">
        <v>4.6427</v>
      </c>
      <c r="M58" s="301">
        <v>0.3592</v>
      </c>
      <c r="N58" s="301">
        <v>3.5193</v>
      </c>
      <c r="O58" s="301">
        <v>0.1659</v>
      </c>
      <c r="P58" s="301">
        <v>0.5428</v>
      </c>
      <c r="R58" s="301">
        <v>2.5021</v>
      </c>
      <c r="S58" s="301">
        <v>0.514</v>
      </c>
      <c r="U58" s="301">
        <v>0.4568</v>
      </c>
      <c r="V58" s="301">
        <v>0.5486</v>
      </c>
      <c r="W58" s="301">
        <v>0.9711</v>
      </c>
      <c r="X58" s="301">
        <v>2.0696</v>
      </c>
      <c r="Y58" s="301">
        <v>1.8135</v>
      </c>
      <c r="Z58" s="301">
        <v>1.1723</v>
      </c>
      <c r="AA58" s="301">
        <v>5.7066</v>
      </c>
      <c r="AB58" s="301">
        <v>0.0656</v>
      </c>
      <c r="AC58" s="301">
        <v>0.2379</v>
      </c>
      <c r="AD58" s="301">
        <v>0.4109</v>
      </c>
      <c r="AE58" s="301">
        <v>1.713</v>
      </c>
      <c r="AF58" s="301">
        <v>0.9403</v>
      </c>
      <c r="AG58" s="301">
        <v>0.1009</v>
      </c>
      <c r="AH58" s="301">
        <v>3.2772</v>
      </c>
      <c r="AI58" s="301">
        <v>0.2548</v>
      </c>
      <c r="AJ58" s="301">
        <v>0.4354</v>
      </c>
      <c r="AK58" s="301">
        <v>4.5424</v>
      </c>
      <c r="AL58" s="302">
        <v>55</v>
      </c>
      <c r="AM58" t="s">
        <v>411</v>
      </c>
    </row>
    <row r="59" spans="1:39" ht="12.75">
      <c r="A59" s="441">
        <v>40624</v>
      </c>
      <c r="B59" s="301">
        <v>0.0938</v>
      </c>
      <c r="C59" s="301">
        <v>2.8358</v>
      </c>
      <c r="D59" s="301">
        <v>2.8672</v>
      </c>
      <c r="E59" s="301">
        <v>0.3637</v>
      </c>
      <c r="F59" s="301">
        <v>2.9054</v>
      </c>
      <c r="G59" s="301">
        <v>2.1076</v>
      </c>
      <c r="H59" s="301">
        <v>2.2438</v>
      </c>
      <c r="I59" s="301">
        <v>4.0345</v>
      </c>
      <c r="J59" s="301">
        <v>1.4924</v>
      </c>
      <c r="K59" s="301">
        <v>3.1424</v>
      </c>
      <c r="L59" s="301">
        <v>4.6435</v>
      </c>
      <c r="M59" s="301">
        <v>0.3562</v>
      </c>
      <c r="N59" s="301">
        <v>3.4966</v>
      </c>
      <c r="O59" s="301">
        <v>0.1648</v>
      </c>
      <c r="P59" s="301">
        <v>0.541</v>
      </c>
      <c r="R59" s="301">
        <v>2.4927</v>
      </c>
      <c r="S59" s="301">
        <v>0.5109</v>
      </c>
      <c r="U59" s="301">
        <v>0.453</v>
      </c>
      <c r="V59" s="301">
        <v>0.547</v>
      </c>
      <c r="W59" s="301">
        <v>0.9736</v>
      </c>
      <c r="X59" s="301">
        <v>2.0628</v>
      </c>
      <c r="Y59" s="301">
        <v>1.8061</v>
      </c>
      <c r="Z59" s="301">
        <v>1.1685</v>
      </c>
      <c r="AA59" s="301">
        <v>5.6888</v>
      </c>
      <c r="AB59" s="301">
        <v>0.0654</v>
      </c>
      <c r="AC59" s="301">
        <v>0.2369</v>
      </c>
      <c r="AD59" s="301">
        <v>0.4103</v>
      </c>
      <c r="AE59" s="301">
        <v>1.7014</v>
      </c>
      <c r="AF59" s="301">
        <v>0.9362</v>
      </c>
      <c r="AG59" s="301">
        <v>0.1007</v>
      </c>
      <c r="AH59" s="301">
        <v>3.2511</v>
      </c>
      <c r="AI59" s="301">
        <v>0.253</v>
      </c>
      <c r="AJ59" s="301">
        <v>0.4328</v>
      </c>
      <c r="AK59" s="301">
        <v>4.5158</v>
      </c>
      <c r="AL59" s="302">
        <v>56</v>
      </c>
      <c r="AM59" t="s">
        <v>411</v>
      </c>
    </row>
    <row r="60" spans="1:39" ht="12.75">
      <c r="A60" s="441">
        <v>40625</v>
      </c>
      <c r="B60" s="301">
        <v>0.0939</v>
      </c>
      <c r="C60" s="301">
        <v>2.8446</v>
      </c>
      <c r="D60" s="301">
        <v>2.877</v>
      </c>
      <c r="E60" s="301">
        <v>0.3649</v>
      </c>
      <c r="F60" s="301">
        <v>2.9006</v>
      </c>
      <c r="G60" s="301">
        <v>2.1047</v>
      </c>
      <c r="H60" s="301">
        <v>2.2505</v>
      </c>
      <c r="I60" s="301">
        <v>4.0353</v>
      </c>
      <c r="J60" s="301">
        <v>1.4963</v>
      </c>
      <c r="K60" s="301">
        <v>3.1599</v>
      </c>
      <c r="L60" s="301">
        <v>4.6367</v>
      </c>
      <c r="M60" s="301">
        <v>0.3569</v>
      </c>
      <c r="N60" s="301">
        <v>3.5164</v>
      </c>
      <c r="O60" s="301">
        <v>0.1653</v>
      </c>
      <c r="P60" s="301">
        <v>0.5411</v>
      </c>
      <c r="R60" s="301">
        <v>2.4939</v>
      </c>
      <c r="S60" s="301">
        <v>0.5116</v>
      </c>
      <c r="U60" s="301">
        <v>0.4519</v>
      </c>
      <c r="V60" s="301">
        <v>0.5467</v>
      </c>
      <c r="W60" s="301">
        <v>0.9781</v>
      </c>
      <c r="X60" s="301">
        <v>2.0632</v>
      </c>
      <c r="Y60" s="301">
        <v>1.8202</v>
      </c>
      <c r="Z60" s="301">
        <v>1.1687</v>
      </c>
      <c r="AA60" s="301">
        <v>5.6915</v>
      </c>
      <c r="AB60" s="301">
        <v>0.0654</v>
      </c>
      <c r="AC60" s="301">
        <v>0.2374</v>
      </c>
      <c r="AD60" s="301">
        <v>0.4097</v>
      </c>
      <c r="AE60" s="301">
        <v>1.7147</v>
      </c>
      <c r="AF60" s="301">
        <v>0.9401</v>
      </c>
      <c r="AG60" s="301">
        <v>0.1007</v>
      </c>
      <c r="AH60" s="301">
        <v>3.2607</v>
      </c>
      <c r="AI60" s="301">
        <v>0.2534</v>
      </c>
      <c r="AJ60" s="301">
        <v>0.4338</v>
      </c>
      <c r="AK60" s="301">
        <v>4.5255</v>
      </c>
      <c r="AL60" s="302">
        <v>57</v>
      </c>
      <c r="AM60" t="s">
        <v>411</v>
      </c>
    </row>
    <row r="61" spans="1:39" ht="12.75">
      <c r="A61" s="441">
        <v>40626</v>
      </c>
      <c r="B61" s="301">
        <v>0.0942</v>
      </c>
      <c r="C61" s="301">
        <v>2.8516</v>
      </c>
      <c r="D61" s="301">
        <v>2.8966</v>
      </c>
      <c r="E61" s="301">
        <v>0.3658</v>
      </c>
      <c r="F61" s="301">
        <v>2.9152</v>
      </c>
      <c r="G61" s="301">
        <v>2.1292</v>
      </c>
      <c r="H61" s="301">
        <v>2.2592</v>
      </c>
      <c r="I61" s="301">
        <v>4.027</v>
      </c>
      <c r="J61" s="301">
        <v>1.4998</v>
      </c>
      <c r="K61" s="301">
        <v>3.1311</v>
      </c>
      <c r="L61" s="301">
        <v>4.6097</v>
      </c>
      <c r="M61" s="301">
        <v>0.3584</v>
      </c>
      <c r="N61" s="301">
        <v>3.5218</v>
      </c>
      <c r="O61" s="301">
        <v>0.165</v>
      </c>
      <c r="P61" s="301">
        <v>0.54</v>
      </c>
      <c r="R61" s="301">
        <v>2.4927</v>
      </c>
      <c r="S61" s="301">
        <v>0.5104</v>
      </c>
      <c r="U61" s="301">
        <v>0.4507</v>
      </c>
      <c r="V61" s="301">
        <v>0.5453</v>
      </c>
      <c r="W61" s="301">
        <v>0.9814</v>
      </c>
      <c r="X61" s="301">
        <v>2.059</v>
      </c>
      <c r="Y61" s="301">
        <v>1.8323</v>
      </c>
      <c r="Z61" s="301">
        <v>1.1663</v>
      </c>
      <c r="AA61" s="301">
        <v>5.679</v>
      </c>
      <c r="AB61" s="301">
        <v>0.0656</v>
      </c>
      <c r="AC61" s="301">
        <v>0.2378</v>
      </c>
      <c r="AD61" s="301">
        <v>0.4112</v>
      </c>
      <c r="AE61" s="301">
        <v>1.7162</v>
      </c>
      <c r="AF61" s="301">
        <v>0.9415</v>
      </c>
      <c r="AG61" s="301">
        <v>0.1005</v>
      </c>
      <c r="AH61" s="301">
        <v>3.2705</v>
      </c>
      <c r="AI61" s="301">
        <v>0.2548</v>
      </c>
      <c r="AJ61" s="301">
        <v>0.4345</v>
      </c>
      <c r="AK61" s="301">
        <v>4.5247</v>
      </c>
      <c r="AL61" s="302">
        <v>58</v>
      </c>
      <c r="AM61" t="s">
        <v>411</v>
      </c>
    </row>
    <row r="62" spans="1:39" ht="12.75">
      <c r="A62" s="441">
        <v>40627</v>
      </c>
      <c r="B62" s="301">
        <v>0.094</v>
      </c>
      <c r="C62" s="301">
        <v>2.8425</v>
      </c>
      <c r="D62" s="301">
        <v>2.9087</v>
      </c>
      <c r="E62" s="301">
        <v>0.3647</v>
      </c>
      <c r="F62" s="301">
        <v>2.9151</v>
      </c>
      <c r="G62" s="301">
        <v>2.1365</v>
      </c>
      <c r="H62" s="301">
        <v>2.2536</v>
      </c>
      <c r="I62" s="301">
        <v>4.024</v>
      </c>
      <c r="J62" s="301">
        <v>1.508</v>
      </c>
      <c r="K62" s="301">
        <v>3.1073</v>
      </c>
      <c r="L62" s="301">
        <v>4.5699</v>
      </c>
      <c r="M62" s="301">
        <v>0.3561</v>
      </c>
      <c r="N62" s="301">
        <v>3.4959</v>
      </c>
      <c r="O62" s="301">
        <v>0.164</v>
      </c>
      <c r="P62" s="301">
        <v>0.5396</v>
      </c>
      <c r="R62" s="301">
        <v>2.4855</v>
      </c>
      <c r="S62" s="301">
        <v>0.5104</v>
      </c>
      <c r="U62" s="301">
        <v>0.4478</v>
      </c>
      <c r="V62" s="301">
        <v>0.5448</v>
      </c>
      <c r="W62" s="301">
        <v>0.9839</v>
      </c>
      <c r="X62" s="301">
        <v>2.0575</v>
      </c>
      <c r="Y62" s="301">
        <v>1.8347</v>
      </c>
      <c r="Z62" s="301">
        <v>1.1654</v>
      </c>
      <c r="AA62" s="301">
        <v>5.6732</v>
      </c>
      <c r="AB62" s="301">
        <v>0.0656</v>
      </c>
      <c r="AC62" s="301">
        <v>0.2377</v>
      </c>
      <c r="AD62" s="301">
        <v>0.4121</v>
      </c>
      <c r="AE62" s="301">
        <v>1.713</v>
      </c>
      <c r="AF62" s="301">
        <v>0.9392</v>
      </c>
      <c r="AG62" s="301">
        <v>0.1005</v>
      </c>
      <c r="AH62" s="301">
        <v>3.2618</v>
      </c>
      <c r="AI62" s="301">
        <v>0.2552</v>
      </c>
      <c r="AJ62" s="301">
        <v>0.4334</v>
      </c>
      <c r="AK62" s="301">
        <v>4.5203</v>
      </c>
      <c r="AL62" s="302">
        <v>59</v>
      </c>
      <c r="AM62" t="s">
        <v>411</v>
      </c>
    </row>
    <row r="63" spans="1:39" ht="12.75">
      <c r="A63" s="441">
        <v>40630</v>
      </c>
      <c r="B63" s="301">
        <v>0.0939</v>
      </c>
      <c r="C63" s="301">
        <v>2.8431</v>
      </c>
      <c r="D63" s="301">
        <v>2.925</v>
      </c>
      <c r="E63" s="301">
        <v>0.3645</v>
      </c>
      <c r="F63" s="301">
        <v>2.9013</v>
      </c>
      <c r="G63" s="301">
        <v>2.1323</v>
      </c>
      <c r="H63" s="301">
        <v>2.2531</v>
      </c>
      <c r="I63" s="301">
        <v>3.998</v>
      </c>
      <c r="J63" s="301">
        <v>1.4986</v>
      </c>
      <c r="K63" s="301">
        <v>3.0935</v>
      </c>
      <c r="L63" s="301">
        <v>4.5362</v>
      </c>
      <c r="M63" s="301">
        <v>0.3564</v>
      </c>
      <c r="N63" s="301">
        <v>3.4806</v>
      </c>
      <c r="O63" s="301">
        <v>0.163</v>
      </c>
      <c r="P63" s="301">
        <v>0.5361</v>
      </c>
      <c r="R63" s="301">
        <v>2.4719</v>
      </c>
      <c r="S63" s="301">
        <v>0.5065</v>
      </c>
      <c r="U63" s="301">
        <v>0.4451</v>
      </c>
      <c r="V63" s="301">
        <v>0.5409</v>
      </c>
      <c r="W63" s="301">
        <v>0.9755</v>
      </c>
      <c r="X63" s="301">
        <v>2.0442</v>
      </c>
      <c r="Y63" s="301">
        <v>1.8297</v>
      </c>
      <c r="Z63" s="301">
        <v>1.1579</v>
      </c>
      <c r="AA63" s="301">
        <v>5.6429</v>
      </c>
      <c r="AB63" s="301">
        <v>0.0654</v>
      </c>
      <c r="AC63" s="301">
        <v>0.2374</v>
      </c>
      <c r="AD63" s="301">
        <v>0.4126</v>
      </c>
      <c r="AE63" s="301">
        <v>1.7114</v>
      </c>
      <c r="AF63" s="301">
        <v>0.9395</v>
      </c>
      <c r="AG63" s="301">
        <v>0.1002</v>
      </c>
      <c r="AH63" s="301">
        <v>3.2623</v>
      </c>
      <c r="AI63" s="301">
        <v>0.2552</v>
      </c>
      <c r="AJ63" s="301">
        <v>0.433</v>
      </c>
      <c r="AK63" s="301">
        <v>4.4943</v>
      </c>
      <c r="AL63" s="302">
        <v>60</v>
      </c>
      <c r="AM63" t="s">
        <v>411</v>
      </c>
    </row>
    <row r="64" spans="1:39" ht="12.75">
      <c r="A64" s="441">
        <v>40631</v>
      </c>
      <c r="B64" s="301">
        <v>0.0931</v>
      </c>
      <c r="C64" s="301">
        <v>2.8227</v>
      </c>
      <c r="D64" s="301">
        <v>2.8959</v>
      </c>
      <c r="E64" s="301">
        <v>0.3627</v>
      </c>
      <c r="F64" s="301">
        <v>2.8977</v>
      </c>
      <c r="G64" s="301">
        <v>2.1264</v>
      </c>
      <c r="H64" s="301">
        <v>2.239</v>
      </c>
      <c r="I64" s="301">
        <v>3.993</v>
      </c>
      <c r="J64" s="301">
        <v>1.4909</v>
      </c>
      <c r="K64" s="301">
        <v>3.0817</v>
      </c>
      <c r="L64" s="301">
        <v>4.5257</v>
      </c>
      <c r="M64" s="301">
        <v>0.3555</v>
      </c>
      <c r="N64" s="301">
        <v>3.4609</v>
      </c>
      <c r="O64" s="301">
        <v>0.1626</v>
      </c>
      <c r="P64" s="301">
        <v>0.5354</v>
      </c>
      <c r="R64" s="301">
        <v>2.4644</v>
      </c>
      <c r="S64" s="301">
        <v>0.5058</v>
      </c>
      <c r="U64" s="301">
        <v>0.4443</v>
      </c>
      <c r="V64" s="301">
        <v>0.5407</v>
      </c>
      <c r="W64" s="301">
        <v>0.9686</v>
      </c>
      <c r="X64" s="301">
        <v>2.0416</v>
      </c>
      <c r="Y64" s="301">
        <v>1.8084</v>
      </c>
      <c r="Z64" s="301">
        <v>1.1564</v>
      </c>
      <c r="AA64" s="301">
        <v>5.6303</v>
      </c>
      <c r="AB64" s="301">
        <v>0.065</v>
      </c>
      <c r="AC64" s="301">
        <v>0.2362</v>
      </c>
      <c r="AD64" s="301">
        <v>0.4111</v>
      </c>
      <c r="AE64" s="301">
        <v>1.6978</v>
      </c>
      <c r="AF64" s="301">
        <v>0.9329</v>
      </c>
      <c r="AG64" s="301">
        <v>0.0995</v>
      </c>
      <c r="AH64" s="301">
        <v>3.2424</v>
      </c>
      <c r="AI64" s="301">
        <v>0.2541</v>
      </c>
      <c r="AJ64" s="301">
        <v>0.4303</v>
      </c>
      <c r="AK64" s="301">
        <v>4.4959</v>
      </c>
      <c r="AL64" s="302">
        <v>61</v>
      </c>
      <c r="AM64" t="s">
        <v>411</v>
      </c>
    </row>
    <row r="65" spans="1:39" ht="12.75">
      <c r="A65" s="441">
        <v>40632</v>
      </c>
      <c r="B65" s="301">
        <v>0.0933</v>
      </c>
      <c r="C65" s="301">
        <v>2.8277</v>
      </c>
      <c r="D65" s="301">
        <v>2.9145</v>
      </c>
      <c r="E65" s="301">
        <v>0.3631</v>
      </c>
      <c r="F65" s="301">
        <v>2.9078</v>
      </c>
      <c r="G65" s="301">
        <v>2.1477</v>
      </c>
      <c r="H65" s="301">
        <v>2.2399</v>
      </c>
      <c r="I65" s="301">
        <v>3.9878</v>
      </c>
      <c r="J65" s="301">
        <v>1.4922</v>
      </c>
      <c r="K65" s="301">
        <v>3.0654</v>
      </c>
      <c r="L65" s="301">
        <v>4.5471</v>
      </c>
      <c r="M65" s="301">
        <v>0.3545</v>
      </c>
      <c r="N65" s="301">
        <v>3.404</v>
      </c>
      <c r="O65" s="301">
        <v>0.1624</v>
      </c>
      <c r="P65" s="301">
        <v>0.5347</v>
      </c>
      <c r="R65" s="301">
        <v>2.4624</v>
      </c>
      <c r="S65" s="301">
        <v>0.506</v>
      </c>
      <c r="U65" s="301">
        <v>0.4469</v>
      </c>
      <c r="V65" s="301">
        <v>0.5405</v>
      </c>
      <c r="W65" s="301">
        <v>0.9733</v>
      </c>
      <c r="X65" s="301">
        <v>2.039</v>
      </c>
      <c r="Y65" s="301">
        <v>1.8186</v>
      </c>
      <c r="Z65" s="301">
        <v>1.1549</v>
      </c>
      <c r="AA65" s="301">
        <v>5.6245</v>
      </c>
      <c r="AB65" s="301">
        <v>0.0651</v>
      </c>
      <c r="AC65" s="301">
        <v>0.2368</v>
      </c>
      <c r="AD65" s="301">
        <v>0.4138</v>
      </c>
      <c r="AE65" s="301">
        <v>1.7181</v>
      </c>
      <c r="AF65" s="301">
        <v>0.9348</v>
      </c>
      <c r="AG65" s="301">
        <v>0.0991</v>
      </c>
      <c r="AH65" s="301">
        <v>3.2507</v>
      </c>
      <c r="AI65" s="301">
        <v>0.2566</v>
      </c>
      <c r="AJ65" s="301">
        <v>0.4312</v>
      </c>
      <c r="AK65" s="301">
        <v>4.4815</v>
      </c>
      <c r="AL65" s="302">
        <v>62</v>
      </c>
      <c r="AM65" t="s">
        <v>411</v>
      </c>
    </row>
    <row r="66" spans="1:39" ht="12.75">
      <c r="A66" s="441">
        <v>40633</v>
      </c>
      <c r="B66" s="301">
        <v>0.0933</v>
      </c>
      <c r="C66" s="301">
        <v>2.8229</v>
      </c>
      <c r="D66" s="301">
        <v>2.9181</v>
      </c>
      <c r="E66" s="301">
        <v>0.3627</v>
      </c>
      <c r="F66" s="301">
        <v>2.9089</v>
      </c>
      <c r="G66" s="301">
        <v>2.149</v>
      </c>
      <c r="H66" s="301">
        <v>2.2402</v>
      </c>
      <c r="I66" s="301">
        <v>4.0119</v>
      </c>
      <c r="J66" s="301">
        <v>1.5096</v>
      </c>
      <c r="K66" s="301">
        <v>3.0825</v>
      </c>
      <c r="L66" s="301">
        <v>4.553</v>
      </c>
      <c r="M66" s="301">
        <v>0.3562</v>
      </c>
      <c r="N66" s="301">
        <v>3.4102</v>
      </c>
      <c r="O66" s="301">
        <v>0.1634</v>
      </c>
      <c r="P66" s="301">
        <v>0.538</v>
      </c>
      <c r="R66" s="301">
        <v>2.475</v>
      </c>
      <c r="S66" s="301">
        <v>0.5107</v>
      </c>
      <c r="U66" s="301">
        <v>0.4493</v>
      </c>
      <c r="V66" s="301">
        <v>0.5439</v>
      </c>
      <c r="W66" s="301">
        <v>0.9767</v>
      </c>
      <c r="X66" s="301">
        <v>2.0513</v>
      </c>
      <c r="Y66" s="301">
        <v>1.8296</v>
      </c>
      <c r="Z66" s="301">
        <v>1.1619</v>
      </c>
      <c r="AA66" s="301">
        <v>5.6561</v>
      </c>
      <c r="AB66" s="301">
        <v>0.0651</v>
      </c>
      <c r="AC66" s="301">
        <v>0.2375</v>
      </c>
      <c r="AD66" s="301">
        <v>0.4161</v>
      </c>
      <c r="AE66" s="301">
        <v>1.7335</v>
      </c>
      <c r="AF66" s="301">
        <v>0.9332</v>
      </c>
      <c r="AG66" s="301">
        <v>0.0994</v>
      </c>
      <c r="AH66" s="301">
        <v>3.2416</v>
      </c>
      <c r="AI66" s="301">
        <v>0.2576</v>
      </c>
      <c r="AJ66" s="301">
        <v>0.4311</v>
      </c>
      <c r="AK66" s="301">
        <v>4.4979</v>
      </c>
      <c r="AL66" s="302">
        <v>63</v>
      </c>
      <c r="AM66" t="s">
        <v>411</v>
      </c>
    </row>
    <row r="67" spans="1:39" ht="12.75">
      <c r="A67" s="441">
        <v>40634</v>
      </c>
      <c r="B67" s="301">
        <v>0.094</v>
      </c>
      <c r="C67" s="301">
        <v>2.8455</v>
      </c>
      <c r="D67" s="301">
        <v>2.9441</v>
      </c>
      <c r="E67" s="301">
        <v>0.3657</v>
      </c>
      <c r="F67" s="301">
        <v>2.9385</v>
      </c>
      <c r="G67" s="301">
        <v>2.1678</v>
      </c>
      <c r="H67" s="301">
        <v>2.2554</v>
      </c>
      <c r="I67" s="301">
        <v>4.0312</v>
      </c>
      <c r="J67" s="301">
        <v>1.5139</v>
      </c>
      <c r="K67" s="301">
        <v>3.0871</v>
      </c>
      <c r="L67" s="301">
        <v>4.5625</v>
      </c>
      <c r="M67" s="301">
        <v>0.3572</v>
      </c>
      <c r="N67" s="301">
        <v>3.4001</v>
      </c>
      <c r="O67" s="301">
        <v>0.1647</v>
      </c>
      <c r="P67" s="301">
        <v>0.5406</v>
      </c>
      <c r="R67" s="301">
        <v>2.4876</v>
      </c>
      <c r="S67" s="301">
        <v>0.5152</v>
      </c>
      <c r="U67" s="301">
        <v>0.4512</v>
      </c>
      <c r="V67" s="301">
        <v>0.5466</v>
      </c>
      <c r="W67" s="301">
        <v>0.9735</v>
      </c>
      <c r="X67" s="301">
        <v>2.0612</v>
      </c>
      <c r="Y67" s="301">
        <v>1.8449</v>
      </c>
      <c r="Z67" s="301">
        <v>1.1675</v>
      </c>
      <c r="AA67" s="301">
        <v>5.6817</v>
      </c>
      <c r="AB67" s="301">
        <v>0.0656</v>
      </c>
      <c r="AC67" s="301">
        <v>0.2398</v>
      </c>
      <c r="AD67" s="301">
        <v>0.4206</v>
      </c>
      <c r="AE67" s="301">
        <v>1.7453</v>
      </c>
      <c r="AF67" s="301">
        <v>0.9406</v>
      </c>
      <c r="AG67" s="301">
        <v>0.1002</v>
      </c>
      <c r="AH67" s="301">
        <v>3.271</v>
      </c>
      <c r="AI67" s="301">
        <v>0.2611</v>
      </c>
      <c r="AJ67" s="301">
        <v>0.4346</v>
      </c>
      <c r="AK67" s="301">
        <v>4.4988</v>
      </c>
      <c r="AL67" s="302">
        <v>64</v>
      </c>
      <c r="AM67" t="s">
        <v>411</v>
      </c>
    </row>
    <row r="68" spans="1:39" ht="12.75">
      <c r="A68" s="441">
        <v>40637</v>
      </c>
      <c r="B68" s="301">
        <v>0.0939</v>
      </c>
      <c r="C68" s="301">
        <v>2.8395</v>
      </c>
      <c r="D68" s="301">
        <v>2.9464</v>
      </c>
      <c r="E68" s="301">
        <v>0.365</v>
      </c>
      <c r="F68" s="301">
        <v>2.9478</v>
      </c>
      <c r="G68" s="301">
        <v>2.1819</v>
      </c>
      <c r="H68" s="301">
        <v>2.252</v>
      </c>
      <c r="I68" s="301">
        <v>4.0325</v>
      </c>
      <c r="J68" s="301">
        <v>1.5143</v>
      </c>
      <c r="K68" s="301">
        <v>3.0711</v>
      </c>
      <c r="L68" s="301">
        <v>4.5816</v>
      </c>
      <c r="M68" s="301">
        <v>0.3561</v>
      </c>
      <c r="N68" s="301">
        <v>3.3783</v>
      </c>
      <c r="O68" s="301">
        <v>0.1651</v>
      </c>
      <c r="P68" s="301">
        <v>0.5408</v>
      </c>
      <c r="R68" s="301">
        <v>2.4854</v>
      </c>
      <c r="S68" s="301">
        <v>0.5156</v>
      </c>
      <c r="U68" s="301">
        <v>0.4487</v>
      </c>
      <c r="V68" s="301">
        <v>0.5469</v>
      </c>
      <c r="W68" s="301">
        <v>0.9759</v>
      </c>
      <c r="X68" s="301">
        <v>2.0618</v>
      </c>
      <c r="Y68" s="301">
        <v>1.8487</v>
      </c>
      <c r="Z68" s="301">
        <v>1.1679</v>
      </c>
      <c r="AA68" s="301">
        <v>5.6908</v>
      </c>
      <c r="AB68" s="301">
        <v>0.0656</v>
      </c>
      <c r="AC68" s="301">
        <v>0.2397</v>
      </c>
      <c r="AD68" s="301">
        <v>0.4218</v>
      </c>
      <c r="AE68" s="301">
        <v>1.7523</v>
      </c>
      <c r="AF68" s="301">
        <v>0.9383</v>
      </c>
      <c r="AG68" s="301">
        <v>0.1005</v>
      </c>
      <c r="AH68" s="301">
        <v>3.2776</v>
      </c>
      <c r="AI68" s="301">
        <v>0.2612</v>
      </c>
      <c r="AJ68" s="301">
        <v>0.4342</v>
      </c>
      <c r="AK68" s="301">
        <v>4.5087</v>
      </c>
      <c r="AL68" s="302">
        <v>65</v>
      </c>
      <c r="AM68" t="s">
        <v>411</v>
      </c>
    </row>
    <row r="69" spans="1:39" ht="12.75">
      <c r="A69" s="441">
        <v>40638</v>
      </c>
      <c r="B69" s="301">
        <v>0.094</v>
      </c>
      <c r="C69" s="301">
        <v>2.8388</v>
      </c>
      <c r="D69" s="301">
        <v>2.9326</v>
      </c>
      <c r="E69" s="301">
        <v>0.3651</v>
      </c>
      <c r="F69" s="301">
        <v>2.9365</v>
      </c>
      <c r="G69" s="301">
        <v>2.1851</v>
      </c>
      <c r="H69" s="301">
        <v>2.2522</v>
      </c>
      <c r="I69" s="301">
        <v>4.0253</v>
      </c>
      <c r="J69" s="301">
        <v>1.5165</v>
      </c>
      <c r="K69" s="301">
        <v>3.0767</v>
      </c>
      <c r="L69" s="301">
        <v>4.6101</v>
      </c>
      <c r="M69" s="301">
        <v>0.3557</v>
      </c>
      <c r="N69" s="301">
        <v>3.3689</v>
      </c>
      <c r="O69" s="301">
        <v>0.1646</v>
      </c>
      <c r="P69" s="301">
        <v>0.5398</v>
      </c>
      <c r="R69" s="301">
        <v>2.4844</v>
      </c>
      <c r="S69" s="301">
        <v>0.5168</v>
      </c>
      <c r="U69" s="301">
        <v>0.4468</v>
      </c>
      <c r="V69" s="301">
        <v>0.5464</v>
      </c>
      <c r="W69" s="301">
        <v>0.9781</v>
      </c>
      <c r="X69" s="301">
        <v>2.0581</v>
      </c>
      <c r="Y69" s="301">
        <v>1.8473</v>
      </c>
      <c r="Z69" s="301">
        <v>1.1658</v>
      </c>
      <c r="AA69" s="301">
        <v>5.6766</v>
      </c>
      <c r="AB69" s="301">
        <v>0.0655</v>
      </c>
      <c r="AC69" s="301">
        <v>0.2396</v>
      </c>
      <c r="AD69" s="301">
        <v>0.4214</v>
      </c>
      <c r="AE69" s="301">
        <v>1.7649</v>
      </c>
      <c r="AF69" s="301">
        <v>0.938</v>
      </c>
      <c r="AG69" s="301">
        <v>0.1001</v>
      </c>
      <c r="AH69" s="301">
        <v>3.2776</v>
      </c>
      <c r="AI69" s="301">
        <v>0.2605</v>
      </c>
      <c r="AJ69" s="301">
        <v>0.434</v>
      </c>
      <c r="AK69" s="301">
        <v>4.479</v>
      </c>
      <c r="AL69" s="302">
        <v>66</v>
      </c>
      <c r="AM69" t="s">
        <v>411</v>
      </c>
    </row>
    <row r="70" spans="1:39" ht="12.75">
      <c r="A70" s="441">
        <v>40639</v>
      </c>
      <c r="B70" s="301">
        <v>0.0928</v>
      </c>
      <c r="C70" s="301">
        <v>2.7986</v>
      </c>
      <c r="D70" s="301">
        <v>2.9036</v>
      </c>
      <c r="E70" s="301">
        <v>0.3598</v>
      </c>
      <c r="F70" s="301">
        <v>2.9113</v>
      </c>
      <c r="G70" s="301">
        <v>2.1682</v>
      </c>
      <c r="H70" s="301">
        <v>2.2205</v>
      </c>
      <c r="I70" s="301">
        <v>3.9989</v>
      </c>
      <c r="J70" s="301">
        <v>1.5165</v>
      </c>
      <c r="K70" s="301">
        <v>3.0497</v>
      </c>
      <c r="L70" s="301">
        <v>4.5533</v>
      </c>
      <c r="M70" s="301">
        <v>0.351</v>
      </c>
      <c r="N70" s="301">
        <v>3.2941</v>
      </c>
      <c r="O70" s="301">
        <v>0.1638</v>
      </c>
      <c r="P70" s="301">
        <v>0.5363</v>
      </c>
      <c r="R70" s="301">
        <v>2.4612</v>
      </c>
      <c r="S70" s="301">
        <v>0.5132</v>
      </c>
      <c r="U70" s="301">
        <v>0.4433</v>
      </c>
      <c r="V70" s="301">
        <v>0.5426</v>
      </c>
      <c r="W70" s="301">
        <v>0.9745</v>
      </c>
      <c r="X70" s="301">
        <v>2.0446</v>
      </c>
      <c r="Y70" s="301">
        <v>1.8356</v>
      </c>
      <c r="Z70" s="301">
        <v>1.1581</v>
      </c>
      <c r="AA70" s="301">
        <v>5.6378</v>
      </c>
      <c r="AB70" s="301">
        <v>0.0649</v>
      </c>
      <c r="AC70" s="301">
        <v>0.237</v>
      </c>
      <c r="AD70" s="301">
        <v>0.4186</v>
      </c>
      <c r="AE70" s="301">
        <v>1.7402</v>
      </c>
      <c r="AF70" s="301">
        <v>0.9252</v>
      </c>
      <c r="AG70" s="301">
        <v>0.0992</v>
      </c>
      <c r="AH70" s="301">
        <v>3.2341</v>
      </c>
      <c r="AI70" s="301">
        <v>0.2577</v>
      </c>
      <c r="AJ70" s="301">
        <v>0.4277</v>
      </c>
      <c r="AK70" s="301">
        <v>4.4684</v>
      </c>
      <c r="AL70" s="302">
        <v>67</v>
      </c>
      <c r="AM70" t="s">
        <v>411</v>
      </c>
    </row>
    <row r="71" spans="1:39" ht="12.75">
      <c r="A71" s="441">
        <v>40640</v>
      </c>
      <c r="B71" s="301">
        <v>0.0926</v>
      </c>
      <c r="C71" s="301">
        <v>2.7863</v>
      </c>
      <c r="D71" s="301">
        <v>2.9219</v>
      </c>
      <c r="E71" s="301">
        <v>0.3584</v>
      </c>
      <c r="F71" s="301">
        <v>2.9034</v>
      </c>
      <c r="G71" s="301">
        <v>2.1648</v>
      </c>
      <c r="H71" s="301">
        <v>2.2099</v>
      </c>
      <c r="I71" s="301">
        <v>3.9823</v>
      </c>
      <c r="J71" s="301">
        <v>1.5066</v>
      </c>
      <c r="K71" s="301">
        <v>3.0349</v>
      </c>
      <c r="L71" s="301">
        <v>4.5515</v>
      </c>
      <c r="M71" s="301">
        <v>0.3497</v>
      </c>
      <c r="N71" s="301">
        <v>3.2683</v>
      </c>
      <c r="O71" s="301">
        <v>0.1631</v>
      </c>
      <c r="P71" s="301">
        <v>0.534</v>
      </c>
      <c r="R71" s="301">
        <v>2.4576</v>
      </c>
      <c r="S71" s="301">
        <v>0.5089</v>
      </c>
      <c r="U71" s="301">
        <v>0.4399</v>
      </c>
      <c r="V71" s="301">
        <v>0.5403</v>
      </c>
      <c r="W71" s="301">
        <v>0.9694</v>
      </c>
      <c r="X71" s="301">
        <v>2.0361</v>
      </c>
      <c r="Y71" s="301">
        <v>1.8402</v>
      </c>
      <c r="Z71" s="301">
        <v>1.1533</v>
      </c>
      <c r="AA71" s="301">
        <v>5.6168</v>
      </c>
      <c r="AB71" s="301">
        <v>0.0646</v>
      </c>
      <c r="AC71" s="301">
        <v>0.2359</v>
      </c>
      <c r="AD71" s="301">
        <v>0.4167</v>
      </c>
      <c r="AE71" s="301">
        <v>1.7255</v>
      </c>
      <c r="AF71" s="301">
        <v>0.9202</v>
      </c>
      <c r="AG71" s="301">
        <v>0.0986</v>
      </c>
      <c r="AH71" s="301">
        <v>3.2103</v>
      </c>
      <c r="AI71" s="301">
        <v>0.2558</v>
      </c>
      <c r="AJ71" s="301">
        <v>0.4258</v>
      </c>
      <c r="AK71" s="301">
        <v>4.423</v>
      </c>
      <c r="AL71" s="302">
        <v>68</v>
      </c>
      <c r="AM71" t="s">
        <v>411</v>
      </c>
    </row>
    <row r="72" spans="1:39" ht="12.75">
      <c r="A72" s="441">
        <v>40641</v>
      </c>
      <c r="B72" s="301">
        <v>0.0915</v>
      </c>
      <c r="C72" s="301">
        <v>2.7489</v>
      </c>
      <c r="D72" s="301">
        <v>2.8921</v>
      </c>
      <c r="E72" s="301">
        <v>0.3538</v>
      </c>
      <c r="F72" s="301">
        <v>2.8783</v>
      </c>
      <c r="G72" s="301">
        <v>2.1433</v>
      </c>
      <c r="H72" s="301">
        <v>2.1861</v>
      </c>
      <c r="I72" s="301">
        <v>3.9594</v>
      </c>
      <c r="J72" s="301">
        <v>1.4969</v>
      </c>
      <c r="K72" s="301">
        <v>3.0097</v>
      </c>
      <c r="L72" s="301">
        <v>4.5096</v>
      </c>
      <c r="M72" s="301">
        <v>0.345</v>
      </c>
      <c r="N72" s="301">
        <v>3.2258</v>
      </c>
      <c r="O72" s="301">
        <v>0.1621</v>
      </c>
      <c r="P72" s="301">
        <v>0.531</v>
      </c>
      <c r="R72" s="301">
        <v>2.4377</v>
      </c>
      <c r="S72" s="301">
        <v>0.5074</v>
      </c>
      <c r="U72" s="301">
        <v>0.4403</v>
      </c>
      <c r="V72" s="301">
        <v>0.5374</v>
      </c>
      <c r="W72" s="301">
        <v>0.9617</v>
      </c>
      <c r="X72" s="301">
        <v>2.0244</v>
      </c>
      <c r="Y72" s="301">
        <v>1.828</v>
      </c>
      <c r="Z72" s="301">
        <v>1.1467</v>
      </c>
      <c r="AA72" s="301">
        <v>5.5813</v>
      </c>
      <c r="AB72" s="301">
        <v>0.0639</v>
      </c>
      <c r="AC72" s="301">
        <v>0.2342</v>
      </c>
      <c r="AD72" s="301">
        <v>0.4142</v>
      </c>
      <c r="AE72" s="301">
        <v>1.7352</v>
      </c>
      <c r="AF72" s="301">
        <v>0.9093</v>
      </c>
      <c r="AG72" s="301">
        <v>0.0979</v>
      </c>
      <c r="AH72" s="301">
        <v>3.176</v>
      </c>
      <c r="AI72" s="301">
        <v>0.2537</v>
      </c>
      <c r="AJ72" s="301">
        <v>0.4206</v>
      </c>
      <c r="AK72" s="301">
        <v>4.4005</v>
      </c>
      <c r="AL72" s="302">
        <v>69</v>
      </c>
      <c r="AM72" t="s">
        <v>411</v>
      </c>
    </row>
    <row r="73" spans="1:39" ht="12.75">
      <c r="A73" s="441">
        <v>40644</v>
      </c>
      <c r="B73" s="301">
        <v>0.0915</v>
      </c>
      <c r="C73" s="301">
        <v>2.7501</v>
      </c>
      <c r="D73" s="301">
        <v>2.9017</v>
      </c>
      <c r="E73" s="301">
        <v>0.3539</v>
      </c>
      <c r="F73" s="301">
        <v>2.8766</v>
      </c>
      <c r="G73" s="301">
        <v>2.1522</v>
      </c>
      <c r="H73" s="301">
        <v>2.1894</v>
      </c>
      <c r="I73" s="301">
        <v>3.9758</v>
      </c>
      <c r="J73" s="301">
        <v>1.5015</v>
      </c>
      <c r="K73" s="301">
        <v>3.0284</v>
      </c>
      <c r="L73" s="301">
        <v>4.496</v>
      </c>
      <c r="M73" s="301">
        <v>0.3453</v>
      </c>
      <c r="N73" s="301">
        <v>3.2526</v>
      </c>
      <c r="O73" s="301">
        <v>0.1626</v>
      </c>
      <c r="P73" s="301">
        <v>0.5331</v>
      </c>
      <c r="R73" s="301">
        <v>2.4459</v>
      </c>
      <c r="S73" s="301">
        <v>0.5084</v>
      </c>
      <c r="U73" s="301">
        <v>0.4421</v>
      </c>
      <c r="V73" s="301">
        <v>0.5398</v>
      </c>
      <c r="W73" s="301">
        <v>0.9675</v>
      </c>
      <c r="X73" s="301">
        <v>2.0328</v>
      </c>
      <c r="Y73" s="301">
        <v>1.818</v>
      </c>
      <c r="Z73" s="301">
        <v>1.1514</v>
      </c>
      <c r="AA73" s="301">
        <v>5.6052</v>
      </c>
      <c r="AB73" s="301">
        <v>0.0638</v>
      </c>
      <c r="AC73" s="301">
        <v>0.2341</v>
      </c>
      <c r="AD73" s="301">
        <v>0.4132</v>
      </c>
      <c r="AE73" s="301">
        <v>1.7525</v>
      </c>
      <c r="AF73" s="301">
        <v>0.9105</v>
      </c>
      <c r="AG73" s="301">
        <v>0.0982</v>
      </c>
      <c r="AH73" s="301">
        <v>3.1774</v>
      </c>
      <c r="AI73" s="301">
        <v>0.2535</v>
      </c>
      <c r="AJ73" s="301">
        <v>0.4205</v>
      </c>
      <c r="AK73" s="301">
        <v>4.3972</v>
      </c>
      <c r="AL73" s="302">
        <v>70</v>
      </c>
      <c r="AM73" t="s">
        <v>411</v>
      </c>
    </row>
    <row r="74" spans="1:39" ht="12.75">
      <c r="A74" s="441">
        <v>40645</v>
      </c>
      <c r="B74" s="301">
        <v>0.0914</v>
      </c>
      <c r="C74" s="301">
        <v>2.7511</v>
      </c>
      <c r="D74" s="301">
        <v>2.884</v>
      </c>
      <c r="E74" s="301">
        <v>0.3542</v>
      </c>
      <c r="F74" s="301">
        <v>2.8743</v>
      </c>
      <c r="G74" s="301">
        <v>2.1534</v>
      </c>
      <c r="H74" s="301">
        <v>2.1883</v>
      </c>
      <c r="I74" s="301">
        <v>3.9726</v>
      </c>
      <c r="J74" s="301">
        <v>1.4922</v>
      </c>
      <c r="K74" s="301">
        <v>3.0502</v>
      </c>
      <c r="L74" s="301">
        <v>4.4711</v>
      </c>
      <c r="M74" s="301">
        <v>0.3457</v>
      </c>
      <c r="N74" s="301">
        <v>3.2667</v>
      </c>
      <c r="O74" s="301">
        <v>0.1627</v>
      </c>
      <c r="P74" s="301">
        <v>0.5327</v>
      </c>
      <c r="R74" s="301">
        <v>2.4409</v>
      </c>
      <c r="S74" s="301">
        <v>0.504</v>
      </c>
      <c r="U74" s="301">
        <v>0.4378</v>
      </c>
      <c r="V74" s="301">
        <v>0.5393</v>
      </c>
      <c r="W74" s="301">
        <v>0.9651</v>
      </c>
      <c r="X74" s="301">
        <v>2.0312</v>
      </c>
      <c r="Y74" s="301">
        <v>1.8119</v>
      </c>
      <c r="Z74" s="301">
        <v>1.1505</v>
      </c>
      <c r="AA74" s="301">
        <v>5.6007</v>
      </c>
      <c r="AB74" s="301">
        <v>0.0637</v>
      </c>
      <c r="AC74" s="301">
        <v>0.2338</v>
      </c>
      <c r="AD74" s="301">
        <v>0.4108</v>
      </c>
      <c r="AE74" s="301">
        <v>1.7375</v>
      </c>
      <c r="AF74" s="301">
        <v>0.9081</v>
      </c>
      <c r="AG74" s="301">
        <v>0.0977</v>
      </c>
      <c r="AH74" s="301">
        <v>3.1777</v>
      </c>
      <c r="AI74" s="301">
        <v>0.2518</v>
      </c>
      <c r="AJ74" s="301">
        <v>0.4205</v>
      </c>
      <c r="AK74" s="301">
        <v>4.3929</v>
      </c>
      <c r="AL74" s="302">
        <v>71</v>
      </c>
      <c r="AM74" t="s">
        <v>411</v>
      </c>
    </row>
    <row r="75" spans="1:39" ht="12.75">
      <c r="A75" s="441">
        <v>40646</v>
      </c>
      <c r="B75" s="301">
        <v>0.091</v>
      </c>
      <c r="C75" s="301">
        <v>2.7421</v>
      </c>
      <c r="D75" s="301">
        <v>2.8759</v>
      </c>
      <c r="E75" s="301">
        <v>0.3528</v>
      </c>
      <c r="F75" s="301">
        <v>2.8517</v>
      </c>
      <c r="G75" s="301">
        <v>2.1663</v>
      </c>
      <c r="H75" s="301">
        <v>2.184</v>
      </c>
      <c r="I75" s="301">
        <v>3.9756</v>
      </c>
      <c r="J75" s="301">
        <v>1.4884</v>
      </c>
      <c r="K75" s="301">
        <v>3.0571</v>
      </c>
      <c r="L75" s="301">
        <v>4.4607</v>
      </c>
      <c r="M75" s="301">
        <v>0.3441</v>
      </c>
      <c r="N75" s="301">
        <v>3.267</v>
      </c>
      <c r="O75" s="301">
        <v>0.1628</v>
      </c>
      <c r="P75" s="301">
        <v>0.533</v>
      </c>
      <c r="R75" s="301">
        <v>2.4304</v>
      </c>
      <c r="S75" s="301">
        <v>0.5041</v>
      </c>
      <c r="U75" s="301">
        <v>0.4388</v>
      </c>
      <c r="V75" s="301">
        <v>0.5397</v>
      </c>
      <c r="W75" s="301">
        <v>0.9664</v>
      </c>
      <c r="X75" s="301">
        <v>2.0327</v>
      </c>
      <c r="Y75" s="301">
        <v>1.808</v>
      </c>
      <c r="Z75" s="301">
        <v>1.1514</v>
      </c>
      <c r="AA75" s="301">
        <v>5.605</v>
      </c>
      <c r="AB75" s="301">
        <v>0.0634</v>
      </c>
      <c r="AC75" s="301">
        <v>0.2323</v>
      </c>
      <c r="AD75" s="301">
        <v>0.4072</v>
      </c>
      <c r="AE75" s="301">
        <v>1.7181</v>
      </c>
      <c r="AF75" s="301">
        <v>0.907</v>
      </c>
      <c r="AG75" s="301">
        <v>0.0974</v>
      </c>
      <c r="AH75" s="301">
        <v>3.1685</v>
      </c>
      <c r="AI75" s="301">
        <v>0.2527</v>
      </c>
      <c r="AJ75" s="301">
        <v>0.4197</v>
      </c>
      <c r="AK75" s="301">
        <v>4.3846</v>
      </c>
      <c r="AL75" s="302">
        <v>72</v>
      </c>
      <c r="AM75" t="s">
        <v>411</v>
      </c>
    </row>
    <row r="76" spans="1:39" ht="12.75">
      <c r="A76" s="441">
        <v>40647</v>
      </c>
      <c r="B76" s="301">
        <v>0.0906</v>
      </c>
      <c r="C76" s="301">
        <v>2.7297</v>
      </c>
      <c r="D76" s="301">
        <v>2.8724</v>
      </c>
      <c r="E76" s="301">
        <v>0.3511</v>
      </c>
      <c r="F76" s="301">
        <v>2.8411</v>
      </c>
      <c r="G76" s="301">
        <v>2.1634</v>
      </c>
      <c r="H76" s="301">
        <v>2.1854</v>
      </c>
      <c r="I76" s="301">
        <v>3.9498</v>
      </c>
      <c r="J76" s="301">
        <v>1.4849</v>
      </c>
      <c r="K76" s="301">
        <v>3.0563</v>
      </c>
      <c r="L76" s="301">
        <v>4.4615</v>
      </c>
      <c r="M76" s="301">
        <v>0.3417</v>
      </c>
      <c r="N76" s="301">
        <v>3.2822</v>
      </c>
      <c r="O76" s="301">
        <v>0.1624</v>
      </c>
      <c r="P76" s="301">
        <v>0.5296</v>
      </c>
      <c r="R76" s="301">
        <v>2.4179</v>
      </c>
      <c r="S76" s="301">
        <v>0.502</v>
      </c>
      <c r="U76" s="301">
        <v>0.4376</v>
      </c>
      <c r="V76" s="301">
        <v>0.5362</v>
      </c>
      <c r="W76" s="301">
        <v>0.9629</v>
      </c>
      <c r="X76" s="301">
        <v>2.0195</v>
      </c>
      <c r="Y76" s="301">
        <v>1.7973</v>
      </c>
      <c r="Z76" s="301">
        <v>1.1439</v>
      </c>
      <c r="AA76" s="301">
        <v>5.5709</v>
      </c>
      <c r="AB76" s="301">
        <v>0.0632</v>
      </c>
      <c r="AC76" s="301">
        <v>0.2317</v>
      </c>
      <c r="AD76" s="301">
        <v>0.4011</v>
      </c>
      <c r="AE76" s="301">
        <v>1.7209</v>
      </c>
      <c r="AF76" s="301">
        <v>0.9031</v>
      </c>
      <c r="AG76" s="301">
        <v>0.0966</v>
      </c>
      <c r="AH76" s="301">
        <v>3.1511</v>
      </c>
      <c r="AI76" s="301">
        <v>0.2507</v>
      </c>
      <c r="AJ76" s="301">
        <v>0.4179</v>
      </c>
      <c r="AK76" s="301">
        <v>4.3557</v>
      </c>
      <c r="AL76" s="302">
        <v>73</v>
      </c>
      <c r="AM76" t="s">
        <v>411</v>
      </c>
    </row>
    <row r="77" spans="1:39" ht="12.75">
      <c r="A77" s="441">
        <v>40648</v>
      </c>
      <c r="B77" s="301">
        <v>0.0907</v>
      </c>
      <c r="C77" s="301">
        <v>2.7293</v>
      </c>
      <c r="D77" s="301">
        <v>2.8715</v>
      </c>
      <c r="E77" s="301">
        <v>0.3511</v>
      </c>
      <c r="F77" s="301">
        <v>2.8321</v>
      </c>
      <c r="G77" s="301">
        <v>2.172</v>
      </c>
      <c r="H77" s="301">
        <v>2.1927</v>
      </c>
      <c r="I77" s="301">
        <v>3.9479</v>
      </c>
      <c r="J77" s="301">
        <v>1.4792</v>
      </c>
      <c r="K77" s="301">
        <v>3.0596</v>
      </c>
      <c r="L77" s="301">
        <v>4.4584</v>
      </c>
      <c r="M77" s="301">
        <v>0.342</v>
      </c>
      <c r="N77" s="301">
        <v>3.2784</v>
      </c>
      <c r="O77" s="301">
        <v>0.1633</v>
      </c>
      <c r="P77" s="301">
        <v>0.5293</v>
      </c>
      <c r="R77" s="301">
        <v>2.419</v>
      </c>
      <c r="S77" s="301">
        <v>0.5048</v>
      </c>
      <c r="U77" s="301">
        <v>0.44</v>
      </c>
      <c r="V77" s="301">
        <v>0.5366</v>
      </c>
      <c r="W77" s="301">
        <v>0.9636</v>
      </c>
      <c r="X77" s="301">
        <v>2.0186</v>
      </c>
      <c r="Y77" s="301">
        <v>1.7955</v>
      </c>
      <c r="Z77" s="301">
        <v>1.1434</v>
      </c>
      <c r="AA77" s="301">
        <v>5.5675</v>
      </c>
      <c r="AB77" s="301">
        <v>0.0631</v>
      </c>
      <c r="AC77" s="301">
        <v>0.2326</v>
      </c>
      <c r="AD77" s="301">
        <v>0.3988</v>
      </c>
      <c r="AE77" s="301">
        <v>1.7301</v>
      </c>
      <c r="AF77" s="301">
        <v>0.903</v>
      </c>
      <c r="AG77" s="301">
        <v>0.0967</v>
      </c>
      <c r="AH77" s="301">
        <v>3.1516</v>
      </c>
      <c r="AI77" s="301">
        <v>0.2504</v>
      </c>
      <c r="AJ77" s="301">
        <v>0.4179</v>
      </c>
      <c r="AK77" s="301">
        <v>4.3726</v>
      </c>
      <c r="AL77" s="302">
        <v>74</v>
      </c>
      <c r="AM77" t="s">
        <v>411</v>
      </c>
    </row>
    <row r="78" spans="1:39" ht="12.75">
      <c r="A78" s="441">
        <v>40651</v>
      </c>
      <c r="B78" s="301">
        <v>0.0917</v>
      </c>
      <c r="C78" s="301">
        <v>2.7608</v>
      </c>
      <c r="D78" s="301">
        <v>2.9092</v>
      </c>
      <c r="E78" s="301">
        <v>0.3549</v>
      </c>
      <c r="F78" s="301">
        <v>2.8704</v>
      </c>
      <c r="G78" s="301">
        <v>2.1848</v>
      </c>
      <c r="H78" s="301">
        <v>2.2145</v>
      </c>
      <c r="I78" s="301">
        <v>3.9559</v>
      </c>
      <c r="J78" s="301">
        <v>1.4816</v>
      </c>
      <c r="K78" s="301">
        <v>3.0848</v>
      </c>
      <c r="L78" s="301">
        <v>4.4872</v>
      </c>
      <c r="M78" s="301">
        <v>0.3457</v>
      </c>
      <c r="N78" s="301">
        <v>3.339</v>
      </c>
      <c r="O78" s="301">
        <v>0.1636</v>
      </c>
      <c r="P78" s="301">
        <v>0.5304</v>
      </c>
      <c r="R78" s="301">
        <v>2.4277</v>
      </c>
      <c r="S78" s="301">
        <v>0.5093</v>
      </c>
      <c r="U78" s="301">
        <v>0.4433</v>
      </c>
      <c r="V78" s="301">
        <v>0.5376</v>
      </c>
      <c r="W78" s="301">
        <v>0.9683</v>
      </c>
      <c r="X78" s="301">
        <v>2.0227</v>
      </c>
      <c r="Y78" s="301">
        <v>1.8149</v>
      </c>
      <c r="Z78" s="301">
        <v>1.1457</v>
      </c>
      <c r="AA78" s="301">
        <v>5.578</v>
      </c>
      <c r="AB78" s="301">
        <v>0.0638</v>
      </c>
      <c r="AC78" s="301">
        <v>0.2363</v>
      </c>
      <c r="AD78" s="301">
        <v>0.4013</v>
      </c>
      <c r="AE78" s="301">
        <v>1.7515</v>
      </c>
      <c r="AF78" s="301">
        <v>0.9129</v>
      </c>
      <c r="AG78" s="301">
        <v>0.0979</v>
      </c>
      <c r="AH78" s="301">
        <v>3.1834</v>
      </c>
      <c r="AI78" s="301">
        <v>0.2535</v>
      </c>
      <c r="AJ78" s="301">
        <v>0.4228</v>
      </c>
      <c r="AK78" s="301">
        <v>4.3747</v>
      </c>
      <c r="AL78" s="302">
        <v>75</v>
      </c>
      <c r="AM78" t="s">
        <v>411</v>
      </c>
    </row>
    <row r="79" spans="1:39" ht="12.75">
      <c r="A79" s="441">
        <v>40652</v>
      </c>
      <c r="B79" s="301">
        <v>0.0929</v>
      </c>
      <c r="C79" s="301">
        <v>2.7922</v>
      </c>
      <c r="D79" s="301">
        <v>2.9243</v>
      </c>
      <c r="E79" s="301">
        <v>0.3589</v>
      </c>
      <c r="F79" s="301">
        <v>2.8948</v>
      </c>
      <c r="G79" s="301">
        <v>2.1947</v>
      </c>
      <c r="H79" s="301">
        <v>2.2379</v>
      </c>
      <c r="I79" s="301">
        <v>3.9815</v>
      </c>
      <c r="J79" s="301">
        <v>1.4883</v>
      </c>
      <c r="K79" s="301">
        <v>3.1112</v>
      </c>
      <c r="L79" s="301">
        <v>4.5404</v>
      </c>
      <c r="M79" s="301">
        <v>0.3496</v>
      </c>
      <c r="N79" s="301">
        <v>3.3859</v>
      </c>
      <c r="O79" s="301">
        <v>0.1651</v>
      </c>
      <c r="P79" s="301">
        <v>0.5339</v>
      </c>
      <c r="R79" s="301">
        <v>2.4524</v>
      </c>
      <c r="S79" s="301">
        <v>0.512</v>
      </c>
      <c r="U79" s="301">
        <v>0.4455</v>
      </c>
      <c r="V79" s="301">
        <v>0.541</v>
      </c>
      <c r="W79" s="301">
        <v>0.9731</v>
      </c>
      <c r="X79" s="301">
        <v>2.0357</v>
      </c>
      <c r="Y79" s="301">
        <v>1.8176</v>
      </c>
      <c r="Z79" s="301">
        <v>1.1531</v>
      </c>
      <c r="AA79" s="301">
        <v>5.6149</v>
      </c>
      <c r="AB79" s="301">
        <v>0.0645</v>
      </c>
      <c r="AC79" s="301">
        <v>0.2379</v>
      </c>
      <c r="AD79" s="301">
        <v>0.4084</v>
      </c>
      <c r="AE79" s="301">
        <v>1.7581</v>
      </c>
      <c r="AF79" s="301">
        <v>0.9232</v>
      </c>
      <c r="AG79" s="301">
        <v>0.0984</v>
      </c>
      <c r="AH79" s="301">
        <v>3.2168</v>
      </c>
      <c r="AI79" s="301">
        <v>0.2562</v>
      </c>
      <c r="AJ79" s="301">
        <v>0.4275</v>
      </c>
      <c r="AK79" s="301">
        <v>4.4389</v>
      </c>
      <c r="AL79" s="302">
        <v>76</v>
      </c>
      <c r="AM79" t="s">
        <v>411</v>
      </c>
    </row>
    <row r="80" spans="1:39" ht="12.75">
      <c r="A80" s="441">
        <v>40653</v>
      </c>
      <c r="B80" s="301">
        <v>0.0913</v>
      </c>
      <c r="C80" s="301">
        <v>2.7358</v>
      </c>
      <c r="D80" s="301">
        <v>2.9158</v>
      </c>
      <c r="E80" s="301">
        <v>0.3517</v>
      </c>
      <c r="F80" s="301">
        <v>2.874</v>
      </c>
      <c r="G80" s="301">
        <v>2.1856</v>
      </c>
      <c r="H80" s="301">
        <v>2.2068</v>
      </c>
      <c r="I80" s="301">
        <v>3.9629</v>
      </c>
      <c r="J80" s="301">
        <v>1.5005</v>
      </c>
      <c r="K80" s="301">
        <v>3.0622</v>
      </c>
      <c r="L80" s="301">
        <v>4.4715</v>
      </c>
      <c r="M80" s="301">
        <v>0.3432</v>
      </c>
      <c r="N80" s="301">
        <v>3.3042</v>
      </c>
      <c r="O80" s="301">
        <v>0.1641</v>
      </c>
      <c r="P80" s="301">
        <v>0.5314</v>
      </c>
      <c r="R80" s="301">
        <v>2.423</v>
      </c>
      <c r="S80" s="301">
        <v>0.5091</v>
      </c>
      <c r="U80" s="301">
        <v>0.4449</v>
      </c>
      <c r="V80" s="301">
        <v>0.5386</v>
      </c>
      <c r="W80" s="301">
        <v>0.9703</v>
      </c>
      <c r="X80" s="301">
        <v>2.0262</v>
      </c>
      <c r="Y80" s="301">
        <v>1.7985</v>
      </c>
      <c r="Z80" s="301">
        <v>1.1477</v>
      </c>
      <c r="AA80" s="301">
        <v>5.5871</v>
      </c>
      <c r="AB80" s="301">
        <v>0.0632</v>
      </c>
      <c r="AC80" s="301">
        <v>0.2355</v>
      </c>
      <c r="AD80" s="301">
        <v>0.404</v>
      </c>
      <c r="AE80" s="301">
        <v>1.736</v>
      </c>
      <c r="AF80" s="301">
        <v>0.9069</v>
      </c>
      <c r="AG80" s="301">
        <v>0.0972</v>
      </c>
      <c r="AH80" s="301">
        <v>3.1621</v>
      </c>
      <c r="AI80" s="301">
        <v>0.2533</v>
      </c>
      <c r="AJ80" s="301">
        <v>0.4191</v>
      </c>
      <c r="AK80" s="301">
        <v>4.4096</v>
      </c>
      <c r="AL80" s="302">
        <v>77</v>
      </c>
      <c r="AM80" t="s">
        <v>411</v>
      </c>
    </row>
    <row r="81" spans="1:39" ht="12.75">
      <c r="A81" s="441">
        <v>40654</v>
      </c>
      <c r="B81" s="301">
        <v>0.091</v>
      </c>
      <c r="C81" s="301">
        <v>2.7183</v>
      </c>
      <c r="D81" s="301">
        <v>2.9215</v>
      </c>
      <c r="E81" s="301">
        <v>0.3499</v>
      </c>
      <c r="F81" s="301">
        <v>2.8674</v>
      </c>
      <c r="G81" s="301">
        <v>2.1769</v>
      </c>
      <c r="H81" s="301">
        <v>2.2012</v>
      </c>
      <c r="I81" s="301">
        <v>3.9787</v>
      </c>
      <c r="J81" s="301">
        <v>1.5061</v>
      </c>
      <c r="K81" s="301">
        <v>3.0803</v>
      </c>
      <c r="L81" s="301">
        <v>4.499</v>
      </c>
      <c r="M81" s="301">
        <v>0.3409</v>
      </c>
      <c r="N81" s="301">
        <v>3.3143</v>
      </c>
      <c r="O81" s="301">
        <v>0.1642</v>
      </c>
      <c r="P81" s="301">
        <v>0.5335</v>
      </c>
      <c r="R81" s="301">
        <v>2.4217</v>
      </c>
      <c r="S81" s="301">
        <v>0.5111</v>
      </c>
      <c r="U81" s="301">
        <v>0.4464</v>
      </c>
      <c r="V81" s="301">
        <v>0.5408</v>
      </c>
      <c r="W81" s="301">
        <v>0.9721</v>
      </c>
      <c r="X81" s="301">
        <v>2.0343</v>
      </c>
      <c r="Y81" s="301">
        <v>1.7938</v>
      </c>
      <c r="Z81" s="301">
        <v>1.1523</v>
      </c>
      <c r="AA81" s="301">
        <v>5.6085</v>
      </c>
      <c r="AB81" s="301">
        <v>0.063</v>
      </c>
      <c r="AC81" s="301">
        <v>0.2347</v>
      </c>
      <c r="AD81" s="301">
        <v>0.4028</v>
      </c>
      <c r="AE81" s="301">
        <v>1.7355</v>
      </c>
      <c r="AF81" s="301">
        <v>0.9039</v>
      </c>
      <c r="AG81" s="301">
        <v>0.0975</v>
      </c>
      <c r="AH81" s="301">
        <v>3.1511</v>
      </c>
      <c r="AI81" s="301">
        <v>0.2517</v>
      </c>
      <c r="AJ81" s="301">
        <v>0.4171</v>
      </c>
      <c r="AK81" s="301">
        <v>4.3925</v>
      </c>
      <c r="AL81" s="302">
        <v>78</v>
      </c>
      <c r="AM81" t="s">
        <v>411</v>
      </c>
    </row>
    <row r="82" spans="1:39" ht="12.75">
      <c r="A82" s="441">
        <v>40655</v>
      </c>
      <c r="B82" s="301">
        <v>0.0906</v>
      </c>
      <c r="C82" s="301">
        <v>2.7135</v>
      </c>
      <c r="D82" s="301">
        <v>2.9141</v>
      </c>
      <c r="E82" s="301">
        <v>0.3491</v>
      </c>
      <c r="F82" s="301">
        <v>2.8462</v>
      </c>
      <c r="G82" s="301">
        <v>2.1744</v>
      </c>
      <c r="H82" s="301">
        <v>2.2003</v>
      </c>
      <c r="I82" s="301">
        <v>3.9536</v>
      </c>
      <c r="J82" s="301">
        <v>1.4931</v>
      </c>
      <c r="K82" s="301">
        <v>3.0636</v>
      </c>
      <c r="L82" s="301">
        <v>4.4838</v>
      </c>
      <c r="M82" s="301">
        <v>0.3405</v>
      </c>
      <c r="N82" s="301">
        <v>3.3118</v>
      </c>
      <c r="O82" s="301">
        <v>0.1639</v>
      </c>
      <c r="P82" s="301">
        <v>0.5302</v>
      </c>
      <c r="R82" s="301">
        <v>2.4129</v>
      </c>
      <c r="S82" s="301">
        <v>0.5066</v>
      </c>
      <c r="U82" s="301">
        <v>0.445</v>
      </c>
      <c r="V82" s="301">
        <v>0.5373</v>
      </c>
      <c r="W82" s="301">
        <v>0.969</v>
      </c>
      <c r="X82" s="301">
        <v>2.0215</v>
      </c>
      <c r="Y82" s="301">
        <v>1.7886</v>
      </c>
      <c r="Z82" s="301">
        <v>1.145</v>
      </c>
      <c r="AA82" s="301">
        <v>5.5747</v>
      </c>
      <c r="AB82" s="301">
        <v>0.0629</v>
      </c>
      <c r="AC82" s="301">
        <v>0.2337</v>
      </c>
      <c r="AD82" s="301">
        <v>0.4029</v>
      </c>
      <c r="AE82" s="301">
        <v>1.7352</v>
      </c>
      <c r="AF82" s="301">
        <v>0.9029</v>
      </c>
      <c r="AG82" s="301">
        <v>0.0968</v>
      </c>
      <c r="AH82" s="301">
        <v>3.1454</v>
      </c>
      <c r="AI82" s="301">
        <v>0.251</v>
      </c>
      <c r="AJ82" s="301">
        <v>0.417</v>
      </c>
      <c r="AK82" s="301">
        <v>4.363</v>
      </c>
      <c r="AL82" s="302">
        <v>79</v>
      </c>
      <c r="AM82" t="s">
        <v>411</v>
      </c>
    </row>
    <row r="83" spans="1:39" ht="12.75">
      <c r="A83" s="441">
        <v>40659</v>
      </c>
      <c r="B83" s="301">
        <v>0.0899</v>
      </c>
      <c r="C83" s="301">
        <v>2.6975</v>
      </c>
      <c r="D83" s="301">
        <v>2.8998</v>
      </c>
      <c r="E83" s="301">
        <v>0.3469</v>
      </c>
      <c r="F83" s="301">
        <v>2.8312</v>
      </c>
      <c r="G83" s="301">
        <v>2.1679</v>
      </c>
      <c r="H83" s="301">
        <v>2.1849</v>
      </c>
      <c r="I83" s="301">
        <v>3.9423</v>
      </c>
      <c r="J83" s="301">
        <v>1.4892</v>
      </c>
      <c r="K83" s="301">
        <v>3.0757</v>
      </c>
      <c r="L83" s="301">
        <v>4.4503</v>
      </c>
      <c r="M83" s="301">
        <v>0.3389</v>
      </c>
      <c r="N83" s="301">
        <v>3.2995</v>
      </c>
      <c r="O83" s="301">
        <v>0.1634</v>
      </c>
      <c r="P83" s="301">
        <v>0.5287</v>
      </c>
      <c r="R83" s="301">
        <v>2.4004</v>
      </c>
      <c r="S83" s="301">
        <v>0.5067</v>
      </c>
      <c r="U83" s="301">
        <v>0.4426</v>
      </c>
      <c r="V83" s="301">
        <v>0.5358</v>
      </c>
      <c r="W83" s="301">
        <v>0.9681</v>
      </c>
      <c r="X83" s="301">
        <v>2.0157</v>
      </c>
      <c r="Y83" s="301">
        <v>1.7635</v>
      </c>
      <c r="Z83" s="301">
        <v>1.1417</v>
      </c>
      <c r="AA83" s="301">
        <v>5.558</v>
      </c>
      <c r="AB83" s="301">
        <v>0.0623</v>
      </c>
      <c r="AC83" s="301">
        <v>0.2325</v>
      </c>
      <c r="AD83" s="301">
        <v>0.3998</v>
      </c>
      <c r="AE83" s="301">
        <v>1.7195</v>
      </c>
      <c r="AF83" s="301">
        <v>0.9023</v>
      </c>
      <c r="AG83" s="301">
        <v>0.097</v>
      </c>
      <c r="AH83" s="301">
        <v>3.1174</v>
      </c>
      <c r="AI83" s="301">
        <v>0.2488</v>
      </c>
      <c r="AJ83" s="301">
        <v>0.4132</v>
      </c>
      <c r="AK83" s="301">
        <v>4.3505</v>
      </c>
      <c r="AL83" s="302">
        <v>80</v>
      </c>
      <c r="AM83" t="s">
        <v>411</v>
      </c>
    </row>
    <row r="84" spans="1:39" ht="12.75">
      <c r="A84" s="441">
        <v>40660</v>
      </c>
      <c r="B84" s="301">
        <v>0.0897</v>
      </c>
      <c r="C84" s="301">
        <v>2.6838</v>
      </c>
      <c r="D84" s="301">
        <v>2.9075</v>
      </c>
      <c r="E84" s="301">
        <v>0.3453</v>
      </c>
      <c r="F84" s="301">
        <v>2.8204</v>
      </c>
      <c r="G84" s="301">
        <v>2.1671</v>
      </c>
      <c r="H84" s="301">
        <v>2.1771</v>
      </c>
      <c r="I84" s="301">
        <v>3.9421</v>
      </c>
      <c r="J84" s="301">
        <v>1.4908</v>
      </c>
      <c r="K84" s="301">
        <v>3.0698</v>
      </c>
      <c r="L84" s="301">
        <v>4.4468</v>
      </c>
      <c r="M84" s="301">
        <v>0.3371</v>
      </c>
      <c r="N84" s="301">
        <v>3.2822</v>
      </c>
      <c r="O84" s="301">
        <v>0.1637</v>
      </c>
      <c r="P84" s="301">
        <v>0.5287</v>
      </c>
      <c r="R84" s="301">
        <v>2.3937</v>
      </c>
      <c r="S84" s="301">
        <v>0.5061</v>
      </c>
      <c r="U84" s="301">
        <v>0.4417</v>
      </c>
      <c r="V84" s="301">
        <v>0.536</v>
      </c>
      <c r="W84" s="301">
        <v>0.9673</v>
      </c>
      <c r="X84" s="301">
        <v>2.0156</v>
      </c>
      <c r="Y84" s="301">
        <v>1.7642</v>
      </c>
      <c r="Z84" s="301">
        <v>1.1417</v>
      </c>
      <c r="AA84" s="301">
        <v>5.5577</v>
      </c>
      <c r="AB84" s="301">
        <v>0.0621</v>
      </c>
      <c r="AC84" s="301">
        <v>0.2321</v>
      </c>
      <c r="AD84" s="301">
        <v>0.4037</v>
      </c>
      <c r="AE84" s="301">
        <v>1.718</v>
      </c>
      <c r="AF84" s="301">
        <v>0.9007</v>
      </c>
      <c r="AG84" s="301">
        <v>0.0968</v>
      </c>
      <c r="AH84" s="301">
        <v>3.1105</v>
      </c>
      <c r="AI84" s="301">
        <v>0.2487</v>
      </c>
      <c r="AJ84" s="301">
        <v>0.4121</v>
      </c>
      <c r="AK84" s="301">
        <v>4.3408</v>
      </c>
      <c r="AL84" s="302">
        <v>81</v>
      </c>
      <c r="AM84" t="s">
        <v>411</v>
      </c>
    </row>
    <row r="85" spans="1:39" ht="12.75">
      <c r="A85" s="441">
        <v>40661</v>
      </c>
      <c r="B85" s="301">
        <v>0.0887</v>
      </c>
      <c r="C85" s="301">
        <v>2.6504</v>
      </c>
      <c r="D85" s="301">
        <v>2.8956</v>
      </c>
      <c r="E85" s="301">
        <v>0.3411</v>
      </c>
      <c r="F85" s="301">
        <v>2.7979</v>
      </c>
      <c r="G85" s="301">
        <v>2.1319</v>
      </c>
      <c r="H85" s="301">
        <v>2.1604</v>
      </c>
      <c r="I85" s="301">
        <v>3.9353</v>
      </c>
      <c r="J85" s="301">
        <v>1.4913</v>
      </c>
      <c r="K85" s="301">
        <v>3.0385</v>
      </c>
      <c r="L85" s="301">
        <v>4.4214</v>
      </c>
      <c r="M85" s="301">
        <v>0.333</v>
      </c>
      <c r="N85" s="301">
        <v>3.2506</v>
      </c>
      <c r="O85" s="301">
        <v>0.1631</v>
      </c>
      <c r="P85" s="301">
        <v>0.5277</v>
      </c>
      <c r="R85" s="301">
        <v>2.3901</v>
      </c>
      <c r="S85" s="301">
        <v>0.5033</v>
      </c>
      <c r="U85" s="301">
        <v>0.4389</v>
      </c>
      <c r="V85" s="301">
        <v>0.5349</v>
      </c>
      <c r="W85" s="301">
        <v>0.9662</v>
      </c>
      <c r="X85" s="301">
        <v>2.0121</v>
      </c>
      <c r="Y85" s="301">
        <v>1.7511</v>
      </c>
      <c r="Z85" s="301">
        <v>1.1397</v>
      </c>
      <c r="AA85" s="301">
        <v>5.5481</v>
      </c>
      <c r="AB85" s="301">
        <v>0.0618</v>
      </c>
      <c r="AC85" s="301">
        <v>0.2301</v>
      </c>
      <c r="AD85" s="301">
        <v>0.4021</v>
      </c>
      <c r="AE85" s="301">
        <v>1.6915</v>
      </c>
      <c r="AF85" s="301">
        <v>0.8937</v>
      </c>
      <c r="AG85" s="301">
        <v>0.0964</v>
      </c>
      <c r="AH85" s="301">
        <v>3.0883</v>
      </c>
      <c r="AI85" s="301">
        <v>0.2471</v>
      </c>
      <c r="AJ85" s="301">
        <v>0.4078</v>
      </c>
      <c r="AK85" s="301">
        <v>4.3246</v>
      </c>
      <c r="AL85" s="302">
        <v>82</v>
      </c>
      <c r="AM85" t="s">
        <v>411</v>
      </c>
    </row>
    <row r="86" spans="1:39" ht="12.75">
      <c r="A86" s="441">
        <v>40662</v>
      </c>
      <c r="B86" s="301">
        <v>0.0887</v>
      </c>
      <c r="C86" s="301">
        <v>2.6501</v>
      </c>
      <c r="D86" s="301">
        <v>2.8945</v>
      </c>
      <c r="E86" s="301">
        <v>0.3412</v>
      </c>
      <c r="F86" s="301">
        <v>2.7849</v>
      </c>
      <c r="G86" s="301">
        <v>2.1311</v>
      </c>
      <c r="H86" s="301">
        <v>2.1635</v>
      </c>
      <c r="I86" s="301">
        <v>3.9376</v>
      </c>
      <c r="J86" s="301">
        <v>1.4906</v>
      </c>
      <c r="K86" s="301">
        <v>3.0533</v>
      </c>
      <c r="L86" s="301">
        <v>4.4215</v>
      </c>
      <c r="M86" s="301">
        <v>0.333</v>
      </c>
      <c r="N86" s="301">
        <v>3.2538</v>
      </c>
      <c r="O86" s="301">
        <v>0.1631</v>
      </c>
      <c r="P86" s="301">
        <v>0.528</v>
      </c>
      <c r="R86" s="301">
        <v>2.3886</v>
      </c>
      <c r="S86" s="301">
        <v>0.505</v>
      </c>
      <c r="U86" s="301">
        <v>0.4409</v>
      </c>
      <c r="V86" s="301">
        <v>0.5348</v>
      </c>
      <c r="W86" s="301">
        <v>0.9672</v>
      </c>
      <c r="X86" s="301">
        <v>2.0133</v>
      </c>
      <c r="Y86" s="301">
        <v>1.7436</v>
      </c>
      <c r="Z86" s="301">
        <v>1.1404</v>
      </c>
      <c r="AA86" s="301">
        <v>5.553</v>
      </c>
      <c r="AB86" s="301">
        <v>0.0619</v>
      </c>
      <c r="AC86" s="301">
        <v>0.2293</v>
      </c>
      <c r="AD86" s="301">
        <v>0.4009</v>
      </c>
      <c r="AE86" s="301">
        <v>1.6754</v>
      </c>
      <c r="AF86" s="301">
        <v>0.895</v>
      </c>
      <c r="AG86" s="301">
        <v>0.0971</v>
      </c>
      <c r="AH86" s="301">
        <v>3.0946</v>
      </c>
      <c r="AI86" s="301">
        <v>0.2479</v>
      </c>
      <c r="AJ86" s="301">
        <v>0.4083</v>
      </c>
      <c r="AK86" s="301">
        <v>4.3109</v>
      </c>
      <c r="AL86" s="302">
        <v>83</v>
      </c>
      <c r="AM86" t="s">
        <v>411</v>
      </c>
    </row>
    <row r="87" spans="1:39" ht="12.75">
      <c r="A87" s="441">
        <v>40665</v>
      </c>
      <c r="B87" s="301">
        <v>0.089</v>
      </c>
      <c r="C87" s="301">
        <v>2.6541</v>
      </c>
      <c r="D87" s="301">
        <v>2.9062</v>
      </c>
      <c r="E87" s="301">
        <v>0.3418</v>
      </c>
      <c r="F87" s="301">
        <v>2.7997</v>
      </c>
      <c r="G87" s="301">
        <v>2.1408</v>
      </c>
      <c r="H87" s="301">
        <v>2.1704</v>
      </c>
      <c r="I87" s="301">
        <v>3.9322</v>
      </c>
      <c r="J87" s="301">
        <v>1.4903</v>
      </c>
      <c r="K87" s="301">
        <v>3.0546</v>
      </c>
      <c r="L87" s="301">
        <v>4.4237</v>
      </c>
      <c r="M87" s="301">
        <v>0.3325</v>
      </c>
      <c r="N87" s="301">
        <v>3.2561</v>
      </c>
      <c r="O87" s="301">
        <v>0.1626</v>
      </c>
      <c r="P87" s="301">
        <v>0.5273</v>
      </c>
      <c r="R87" s="301">
        <v>2.3881</v>
      </c>
      <c r="S87" s="301">
        <v>0.505</v>
      </c>
      <c r="U87" s="301">
        <v>0.4408</v>
      </c>
      <c r="V87" s="301">
        <v>0.5338</v>
      </c>
      <c r="W87" s="301">
        <v>0.9627</v>
      </c>
      <c r="X87" s="301">
        <v>2.0105</v>
      </c>
      <c r="Y87" s="301">
        <v>1.7485</v>
      </c>
      <c r="Z87" s="301">
        <v>1.1388</v>
      </c>
      <c r="AA87" s="301">
        <v>5.5446</v>
      </c>
      <c r="AB87" s="301">
        <v>0.0622</v>
      </c>
      <c r="AC87" s="301">
        <v>0.2305</v>
      </c>
      <c r="AD87" s="301">
        <v>0.4035</v>
      </c>
      <c r="AE87" s="301">
        <v>1.6835</v>
      </c>
      <c r="AF87" s="301">
        <v>0.8957</v>
      </c>
      <c r="AG87" s="301">
        <v>0.0969</v>
      </c>
      <c r="AH87" s="301">
        <v>3.1046</v>
      </c>
      <c r="AI87" s="301">
        <v>0.2493</v>
      </c>
      <c r="AJ87" s="301">
        <v>0.4089</v>
      </c>
      <c r="AK87" s="301">
        <v>4.2893</v>
      </c>
      <c r="AL87" s="302">
        <v>84</v>
      </c>
      <c r="AM87" t="s">
        <v>411</v>
      </c>
    </row>
    <row r="88" spans="1:39" ht="12.75">
      <c r="A88" s="441">
        <v>40667</v>
      </c>
      <c r="B88" s="301">
        <v>0.0885</v>
      </c>
      <c r="C88" s="301">
        <v>2.6499</v>
      </c>
      <c r="D88" s="301">
        <v>2.8764</v>
      </c>
      <c r="E88" s="301">
        <v>0.3414</v>
      </c>
      <c r="F88" s="301">
        <v>2.7803</v>
      </c>
      <c r="G88" s="301">
        <v>2.1043</v>
      </c>
      <c r="H88" s="301">
        <v>2.1567</v>
      </c>
      <c r="I88" s="301">
        <v>3.9366</v>
      </c>
      <c r="J88" s="301">
        <v>1.4842</v>
      </c>
      <c r="K88" s="301">
        <v>3.079</v>
      </c>
      <c r="L88" s="301">
        <v>4.3687</v>
      </c>
      <c r="M88" s="301">
        <v>0.3327</v>
      </c>
      <c r="N88" s="301">
        <v>3.2706</v>
      </c>
      <c r="O88" s="301">
        <v>0.1627</v>
      </c>
      <c r="P88" s="301">
        <v>0.5279</v>
      </c>
      <c r="R88" s="301">
        <v>2.3785</v>
      </c>
      <c r="S88" s="301">
        <v>0.5007</v>
      </c>
      <c r="U88" s="301">
        <v>0.4375</v>
      </c>
      <c r="V88" s="301">
        <v>0.5332</v>
      </c>
      <c r="W88" s="301">
        <v>0.9571</v>
      </c>
      <c r="X88" s="301">
        <v>2.0128</v>
      </c>
      <c r="Y88" s="301">
        <v>1.7217</v>
      </c>
      <c r="Z88" s="301">
        <v>1.1401</v>
      </c>
      <c r="AA88" s="301">
        <v>5.5484</v>
      </c>
      <c r="AB88" s="301">
        <v>0.0618</v>
      </c>
      <c r="AC88" s="301">
        <v>0.2292</v>
      </c>
      <c r="AD88" s="301">
        <v>0.3995</v>
      </c>
      <c r="AE88" s="301">
        <v>1.6684</v>
      </c>
      <c r="AF88" s="301">
        <v>0.8909</v>
      </c>
      <c r="AG88" s="301">
        <v>0.0972</v>
      </c>
      <c r="AH88" s="301">
        <v>3.0992</v>
      </c>
      <c r="AI88" s="301">
        <v>0.2466</v>
      </c>
      <c r="AJ88" s="301">
        <v>0.4081</v>
      </c>
      <c r="AK88" s="301">
        <v>4.3077</v>
      </c>
      <c r="AL88" s="302">
        <v>85</v>
      </c>
      <c r="AM88" t="s">
        <v>411</v>
      </c>
    </row>
    <row r="89" spans="1:39" ht="12.75">
      <c r="A89" s="441">
        <v>40668</v>
      </c>
      <c r="B89" s="301">
        <v>0.0881</v>
      </c>
      <c r="C89" s="301">
        <v>2.6458</v>
      </c>
      <c r="D89" s="301">
        <v>2.8347</v>
      </c>
      <c r="E89" s="301">
        <v>0.3404</v>
      </c>
      <c r="F89" s="301">
        <v>2.7566</v>
      </c>
      <c r="G89" s="301">
        <v>2.0935</v>
      </c>
      <c r="H89" s="301">
        <v>2.149</v>
      </c>
      <c r="I89" s="301">
        <v>3.9406</v>
      </c>
      <c r="J89" s="301">
        <v>1.4895</v>
      </c>
      <c r="K89" s="301">
        <v>3.0885</v>
      </c>
      <c r="L89" s="301">
        <v>4.3605</v>
      </c>
      <c r="M89" s="301">
        <v>0.3319</v>
      </c>
      <c r="N89" s="301">
        <v>3.2967</v>
      </c>
      <c r="O89" s="301">
        <v>0.1632</v>
      </c>
      <c r="P89" s="301">
        <v>0.5284</v>
      </c>
      <c r="R89" s="301">
        <v>2.3782</v>
      </c>
      <c r="S89" s="301">
        <v>0.4998</v>
      </c>
      <c r="U89" s="301">
        <v>0.4363</v>
      </c>
      <c r="V89" s="301">
        <v>0.5339</v>
      </c>
      <c r="W89" s="301">
        <v>0.9603</v>
      </c>
      <c r="X89" s="301">
        <v>2.0148</v>
      </c>
      <c r="Y89" s="301">
        <v>1.7171</v>
      </c>
      <c r="Z89" s="301">
        <v>1.1413</v>
      </c>
      <c r="AA89" s="301">
        <v>5.5556</v>
      </c>
      <c r="AB89" s="301">
        <v>0.0617</v>
      </c>
      <c r="AC89" s="301">
        <v>0.2273</v>
      </c>
      <c r="AD89" s="301">
        <v>0.3979</v>
      </c>
      <c r="AE89" s="301">
        <v>1.6374</v>
      </c>
      <c r="AF89" s="301">
        <v>0.8842</v>
      </c>
      <c r="AG89" s="301">
        <v>0.097</v>
      </c>
      <c r="AH89" s="301">
        <v>3.089</v>
      </c>
      <c r="AI89" s="301">
        <v>0.2446</v>
      </c>
      <c r="AJ89" s="301">
        <v>0.4074</v>
      </c>
      <c r="AK89" s="301">
        <v>4.2918</v>
      </c>
      <c r="AL89" s="302">
        <v>86</v>
      </c>
      <c r="AM89" t="s">
        <v>411</v>
      </c>
    </row>
    <row r="90" spans="1:39" ht="12.75">
      <c r="A90" s="441">
        <v>40669</v>
      </c>
      <c r="B90" s="301">
        <v>0.0903</v>
      </c>
      <c r="C90" s="301">
        <v>2.727</v>
      </c>
      <c r="D90" s="301">
        <v>2.9088</v>
      </c>
      <c r="E90" s="301">
        <v>0.3508</v>
      </c>
      <c r="F90" s="301">
        <v>2.8174</v>
      </c>
      <c r="G90" s="301">
        <v>2.1461</v>
      </c>
      <c r="H90" s="301">
        <v>2.2042</v>
      </c>
      <c r="I90" s="301">
        <v>3.96</v>
      </c>
      <c r="J90" s="301">
        <v>1.492</v>
      </c>
      <c r="K90" s="301">
        <v>3.1236</v>
      </c>
      <c r="L90" s="301">
        <v>4.4652</v>
      </c>
      <c r="M90" s="301">
        <v>0.3424</v>
      </c>
      <c r="N90" s="301">
        <v>3.3943</v>
      </c>
      <c r="O90" s="301">
        <v>0.1642</v>
      </c>
      <c r="P90" s="301">
        <v>0.531</v>
      </c>
      <c r="R90" s="301">
        <v>2.414</v>
      </c>
      <c r="S90" s="301">
        <v>0.4972</v>
      </c>
      <c r="U90" s="301">
        <v>0.4384</v>
      </c>
      <c r="V90" s="301">
        <v>0.5365</v>
      </c>
      <c r="W90" s="301">
        <v>0.9612</v>
      </c>
      <c r="X90" s="301">
        <v>2.0247</v>
      </c>
      <c r="Y90" s="301">
        <v>1.7667</v>
      </c>
      <c r="Z90" s="301">
        <v>1.1469</v>
      </c>
      <c r="AA90" s="301">
        <v>5.5838</v>
      </c>
      <c r="AB90" s="301">
        <v>0.0633</v>
      </c>
      <c r="AC90" s="301">
        <v>0.2328</v>
      </c>
      <c r="AD90" s="301">
        <v>0.4039</v>
      </c>
      <c r="AE90" s="301">
        <v>1.682</v>
      </c>
      <c r="AF90" s="301">
        <v>0.907</v>
      </c>
      <c r="AG90" s="301">
        <v>0.0982</v>
      </c>
      <c r="AH90" s="301">
        <v>3.1795</v>
      </c>
      <c r="AI90" s="301">
        <v>0.2512</v>
      </c>
      <c r="AJ90" s="301">
        <v>0.42</v>
      </c>
      <c r="AK90" s="301">
        <v>4.3367</v>
      </c>
      <c r="AL90" s="302">
        <v>87</v>
      </c>
      <c r="AM90" t="s">
        <v>411</v>
      </c>
    </row>
    <row r="91" spans="1:39" ht="12.75">
      <c r="A91" s="441">
        <v>40672</v>
      </c>
      <c r="B91" s="301">
        <v>0.09</v>
      </c>
      <c r="C91" s="301">
        <v>2.719</v>
      </c>
      <c r="D91" s="301">
        <v>2.9287</v>
      </c>
      <c r="E91" s="301">
        <v>0.3497</v>
      </c>
      <c r="F91" s="301">
        <v>2.8173</v>
      </c>
      <c r="G91" s="301">
        <v>2.1578</v>
      </c>
      <c r="H91" s="301">
        <v>2.2044</v>
      </c>
      <c r="I91" s="301">
        <v>3.9215</v>
      </c>
      <c r="J91" s="301">
        <v>1.4871</v>
      </c>
      <c r="K91" s="301">
        <v>3.1092</v>
      </c>
      <c r="L91" s="301">
        <v>4.4466</v>
      </c>
      <c r="M91" s="301">
        <v>0.3409</v>
      </c>
      <c r="N91" s="301">
        <v>3.3703</v>
      </c>
      <c r="O91" s="301">
        <v>0.1623</v>
      </c>
      <c r="P91" s="301">
        <v>0.5258</v>
      </c>
      <c r="R91" s="301">
        <v>2.3911</v>
      </c>
      <c r="S91" s="301">
        <v>0.497</v>
      </c>
      <c r="U91" s="301">
        <v>0.4362</v>
      </c>
      <c r="V91" s="301">
        <v>0.5316</v>
      </c>
      <c r="W91" s="301">
        <v>0.9556</v>
      </c>
      <c r="X91" s="301">
        <v>2.0051</v>
      </c>
      <c r="Y91" s="301">
        <v>1.7659</v>
      </c>
      <c r="Z91" s="301">
        <v>1.1357</v>
      </c>
      <c r="AA91" s="301">
        <v>5.5295</v>
      </c>
      <c r="AB91" s="301">
        <v>0.0633</v>
      </c>
      <c r="AC91" s="301">
        <v>0.2338</v>
      </c>
      <c r="AD91" s="301">
        <v>0.4078</v>
      </c>
      <c r="AE91" s="301">
        <v>1.683</v>
      </c>
      <c r="AF91" s="301">
        <v>0.9103</v>
      </c>
      <c r="AG91" s="301">
        <v>0.098</v>
      </c>
      <c r="AH91" s="301">
        <v>3.1786</v>
      </c>
      <c r="AI91" s="301">
        <v>0.2514</v>
      </c>
      <c r="AJ91" s="301">
        <v>0.4187</v>
      </c>
      <c r="AK91" s="301">
        <v>4.3486</v>
      </c>
      <c r="AL91" s="302">
        <v>88</v>
      </c>
      <c r="AM91" t="s">
        <v>411</v>
      </c>
    </row>
    <row r="92" spans="1:39" ht="12.75">
      <c r="A92" s="441">
        <v>40673</v>
      </c>
      <c r="B92" s="301">
        <v>0.0906</v>
      </c>
      <c r="C92" s="301">
        <v>2.7361</v>
      </c>
      <c r="D92" s="301">
        <v>2.9516</v>
      </c>
      <c r="E92" s="301">
        <v>0.352</v>
      </c>
      <c r="F92" s="301">
        <v>2.842</v>
      </c>
      <c r="G92" s="301">
        <v>2.1734</v>
      </c>
      <c r="H92" s="301">
        <v>2.2199</v>
      </c>
      <c r="I92" s="301">
        <v>3.9284</v>
      </c>
      <c r="J92" s="301">
        <v>1.4903</v>
      </c>
      <c r="K92" s="301">
        <v>3.1194</v>
      </c>
      <c r="L92" s="301">
        <v>4.4783</v>
      </c>
      <c r="M92" s="301">
        <v>0.3423</v>
      </c>
      <c r="N92" s="301">
        <v>3.3906</v>
      </c>
      <c r="O92" s="301">
        <v>0.1619</v>
      </c>
      <c r="P92" s="301">
        <v>0.5269</v>
      </c>
      <c r="R92" s="301">
        <v>2.4005</v>
      </c>
      <c r="S92" s="301">
        <v>0.5019</v>
      </c>
      <c r="U92" s="301">
        <v>0.4382</v>
      </c>
      <c r="V92" s="301">
        <v>0.5325</v>
      </c>
      <c r="W92" s="301">
        <v>0.9605</v>
      </c>
      <c r="X92" s="301">
        <v>2.0086</v>
      </c>
      <c r="Y92" s="301">
        <v>1.7581</v>
      </c>
      <c r="Z92" s="301">
        <v>1.1377</v>
      </c>
      <c r="AA92" s="301">
        <v>5.54</v>
      </c>
      <c r="AB92" s="301">
        <v>0.0637</v>
      </c>
      <c r="AC92" s="301">
        <v>0.2354</v>
      </c>
      <c r="AD92" s="301">
        <v>0.406</v>
      </c>
      <c r="AE92" s="301">
        <v>1.6959</v>
      </c>
      <c r="AF92" s="301">
        <v>0.9153</v>
      </c>
      <c r="AG92" s="301">
        <v>0.0986</v>
      </c>
      <c r="AH92" s="301">
        <v>3.197</v>
      </c>
      <c r="AI92" s="301">
        <v>0.2529</v>
      </c>
      <c r="AJ92" s="301">
        <v>0.4215</v>
      </c>
      <c r="AK92" s="301">
        <v>4.3661</v>
      </c>
      <c r="AL92" s="302">
        <v>89</v>
      </c>
      <c r="AM92" t="s">
        <v>411</v>
      </c>
    </row>
    <row r="93" spans="1:39" ht="12.75">
      <c r="A93" s="441">
        <v>40674</v>
      </c>
      <c r="B93" s="301">
        <v>0.0906</v>
      </c>
      <c r="C93" s="301">
        <v>2.7201</v>
      </c>
      <c r="D93" s="301">
        <v>2.9572</v>
      </c>
      <c r="E93" s="301">
        <v>0.35</v>
      </c>
      <c r="F93" s="301">
        <v>2.8541</v>
      </c>
      <c r="G93" s="301">
        <v>2.1649</v>
      </c>
      <c r="H93" s="301">
        <v>2.2137</v>
      </c>
      <c r="I93" s="301">
        <v>3.9193</v>
      </c>
      <c r="J93" s="301">
        <v>1.4885</v>
      </c>
      <c r="K93" s="301">
        <v>3.0948</v>
      </c>
      <c r="L93" s="301">
        <v>4.4611</v>
      </c>
      <c r="M93" s="301">
        <v>0.3406</v>
      </c>
      <c r="N93" s="301">
        <v>3.3725</v>
      </c>
      <c r="O93" s="301">
        <v>0.1616</v>
      </c>
      <c r="P93" s="301">
        <v>0.5257</v>
      </c>
      <c r="R93" s="301">
        <v>2.3927</v>
      </c>
      <c r="S93" s="301">
        <v>0.5027</v>
      </c>
      <c r="U93" s="301">
        <v>0.4377</v>
      </c>
      <c r="V93" s="301">
        <v>0.5312</v>
      </c>
      <c r="W93" s="301">
        <v>0.9596</v>
      </c>
      <c r="X93" s="301">
        <v>2.0039</v>
      </c>
      <c r="Y93" s="301">
        <v>1.7331</v>
      </c>
      <c r="Z93" s="301">
        <v>1.1351</v>
      </c>
      <c r="AA93" s="301">
        <v>5.5264</v>
      </c>
      <c r="AB93" s="301">
        <v>0.0634</v>
      </c>
      <c r="AC93" s="301">
        <v>0.2356</v>
      </c>
      <c r="AD93" s="301">
        <v>0.4021</v>
      </c>
      <c r="AE93" s="301">
        <v>1.696</v>
      </c>
      <c r="AF93" s="301">
        <v>0.913</v>
      </c>
      <c r="AG93" s="301">
        <v>0.0985</v>
      </c>
      <c r="AH93" s="301">
        <v>3.1899</v>
      </c>
      <c r="AI93" s="301">
        <v>0.253</v>
      </c>
      <c r="AJ93" s="301">
        <v>0.4189</v>
      </c>
      <c r="AK93" s="301">
        <v>4.3612</v>
      </c>
      <c r="AL93" s="302">
        <v>90</v>
      </c>
      <c r="AM93" t="s">
        <v>411</v>
      </c>
    </row>
    <row r="94" spans="1:39" ht="12.75">
      <c r="A94" s="441">
        <v>40675</v>
      </c>
      <c r="B94" s="301">
        <v>0.0911</v>
      </c>
      <c r="C94" s="301">
        <v>2.7573</v>
      </c>
      <c r="D94" s="301">
        <v>2.9244</v>
      </c>
      <c r="E94" s="301">
        <v>0.3548</v>
      </c>
      <c r="F94" s="301">
        <v>2.8579</v>
      </c>
      <c r="G94" s="301">
        <v>2.1749</v>
      </c>
      <c r="H94" s="301">
        <v>2.2221</v>
      </c>
      <c r="I94" s="301">
        <v>3.9147</v>
      </c>
      <c r="J94" s="301">
        <v>1.4707</v>
      </c>
      <c r="K94" s="301">
        <v>3.1102</v>
      </c>
      <c r="L94" s="301">
        <v>4.4932</v>
      </c>
      <c r="M94" s="301">
        <v>0.3445</v>
      </c>
      <c r="N94" s="301">
        <v>3.4031</v>
      </c>
      <c r="O94" s="301">
        <v>0.1615</v>
      </c>
      <c r="P94" s="301">
        <v>0.5251</v>
      </c>
      <c r="R94" s="301">
        <v>2.394</v>
      </c>
      <c r="S94" s="301">
        <v>0.5008</v>
      </c>
      <c r="U94" s="301">
        <v>0.4361</v>
      </c>
      <c r="V94" s="301">
        <v>0.5306</v>
      </c>
      <c r="W94" s="301">
        <v>0.955</v>
      </c>
      <c r="X94" s="301">
        <v>2.0016</v>
      </c>
      <c r="Y94" s="301">
        <v>1.7403</v>
      </c>
      <c r="Z94" s="301">
        <v>1.1337</v>
      </c>
      <c r="AA94" s="301">
        <v>5.5191</v>
      </c>
      <c r="AB94" s="301">
        <v>0.064</v>
      </c>
      <c r="AC94" s="301">
        <v>0.236</v>
      </c>
      <c r="AD94" s="301">
        <v>0.3975</v>
      </c>
      <c r="AE94" s="301">
        <v>1.7013</v>
      </c>
      <c r="AF94" s="301">
        <v>0.9158</v>
      </c>
      <c r="AG94" s="301">
        <v>0.0985</v>
      </c>
      <c r="AH94" s="301">
        <v>3.2216</v>
      </c>
      <c r="AI94" s="301">
        <v>0.2541</v>
      </c>
      <c r="AJ94" s="301">
        <v>0.4243</v>
      </c>
      <c r="AK94" s="301">
        <v>4.3636</v>
      </c>
      <c r="AL94" s="302">
        <v>91</v>
      </c>
      <c r="AM94" t="s">
        <v>411</v>
      </c>
    </row>
    <row r="95" spans="1:39" ht="12.75">
      <c r="A95" s="441">
        <v>40676</v>
      </c>
      <c r="B95" s="301">
        <v>0.0907</v>
      </c>
      <c r="C95" s="301">
        <v>2.7321</v>
      </c>
      <c r="D95" s="301">
        <v>2.9237</v>
      </c>
      <c r="E95" s="301">
        <v>0.3519</v>
      </c>
      <c r="F95" s="301">
        <v>2.84</v>
      </c>
      <c r="G95" s="301">
        <v>2.1695</v>
      </c>
      <c r="H95" s="301">
        <v>2.2041</v>
      </c>
      <c r="I95" s="301">
        <v>3.9135</v>
      </c>
      <c r="J95" s="301">
        <v>1.4667</v>
      </c>
      <c r="K95" s="301">
        <v>3.0965</v>
      </c>
      <c r="L95" s="301">
        <v>4.4472</v>
      </c>
      <c r="M95" s="301">
        <v>0.3416</v>
      </c>
      <c r="N95" s="301">
        <v>3.3936</v>
      </c>
      <c r="O95" s="301">
        <v>0.1606</v>
      </c>
      <c r="P95" s="301">
        <v>0.5249</v>
      </c>
      <c r="R95" s="301">
        <v>2.3837</v>
      </c>
      <c r="S95" s="301">
        <v>0.4994</v>
      </c>
      <c r="U95" s="301">
        <v>0.4353</v>
      </c>
      <c r="V95" s="301">
        <v>0.5298</v>
      </c>
      <c r="W95" s="301">
        <v>0.9532</v>
      </c>
      <c r="X95" s="301">
        <v>2.001</v>
      </c>
      <c r="Y95" s="301">
        <v>1.7301</v>
      </c>
      <c r="Z95" s="301">
        <v>1.1334</v>
      </c>
      <c r="AA95" s="301">
        <v>5.512</v>
      </c>
      <c r="AB95" s="301">
        <v>0.0633</v>
      </c>
      <c r="AC95" s="301">
        <v>0.2352</v>
      </c>
      <c r="AD95" s="301">
        <v>0.3965</v>
      </c>
      <c r="AE95" s="301">
        <v>1.6871</v>
      </c>
      <c r="AF95" s="301">
        <v>0.9101</v>
      </c>
      <c r="AG95" s="301">
        <v>0.0982</v>
      </c>
      <c r="AH95" s="301">
        <v>3.1985</v>
      </c>
      <c r="AI95" s="301">
        <v>0.2514</v>
      </c>
      <c r="AJ95" s="301">
        <v>0.4205</v>
      </c>
      <c r="AK95" s="301">
        <v>4.3931</v>
      </c>
      <c r="AL95" s="302">
        <v>92</v>
      </c>
      <c r="AM95" t="s">
        <v>411</v>
      </c>
    </row>
    <row r="96" spans="1:39" ht="12.75">
      <c r="A96" s="441">
        <v>40679</v>
      </c>
      <c r="B96" s="301">
        <v>0.0919</v>
      </c>
      <c r="C96" s="301">
        <v>2.7817</v>
      </c>
      <c r="D96" s="301">
        <v>2.9383</v>
      </c>
      <c r="E96" s="301">
        <v>0.3578</v>
      </c>
      <c r="F96" s="301">
        <v>2.8624</v>
      </c>
      <c r="G96" s="301">
        <v>2.182</v>
      </c>
      <c r="H96" s="301">
        <v>2.2259</v>
      </c>
      <c r="I96" s="301">
        <v>3.933</v>
      </c>
      <c r="J96" s="301">
        <v>1.4686</v>
      </c>
      <c r="K96" s="301">
        <v>3.1345</v>
      </c>
      <c r="L96" s="301">
        <v>4.5064</v>
      </c>
      <c r="M96" s="301">
        <v>0.348</v>
      </c>
      <c r="N96" s="301">
        <v>3.4408</v>
      </c>
      <c r="O96" s="301">
        <v>0.1611</v>
      </c>
      <c r="P96" s="301">
        <v>0.5276</v>
      </c>
      <c r="R96" s="301">
        <v>2.4062</v>
      </c>
      <c r="S96" s="301">
        <v>0.5006</v>
      </c>
      <c r="U96" s="301">
        <v>0.437</v>
      </c>
      <c r="V96" s="301">
        <v>0.5322</v>
      </c>
      <c r="W96" s="301">
        <v>0.9581</v>
      </c>
      <c r="X96" s="301">
        <v>2.0109</v>
      </c>
      <c r="Y96" s="301">
        <v>1.7473</v>
      </c>
      <c r="Z96" s="301">
        <v>1.1391</v>
      </c>
      <c r="AA96" s="301">
        <v>5.5449</v>
      </c>
      <c r="AB96" s="301">
        <v>0.0642</v>
      </c>
      <c r="AC96" s="301">
        <v>0.2368</v>
      </c>
      <c r="AD96" s="301">
        <v>0.396</v>
      </c>
      <c r="AE96" s="301">
        <v>1.6999</v>
      </c>
      <c r="AF96" s="301">
        <v>0.9144</v>
      </c>
      <c r="AG96" s="301">
        <v>0.0987</v>
      </c>
      <c r="AH96" s="301">
        <v>3.2449</v>
      </c>
      <c r="AI96" s="301">
        <v>0.2547</v>
      </c>
      <c r="AJ96" s="301">
        <v>0.4274</v>
      </c>
      <c r="AK96" s="301">
        <v>4.3923</v>
      </c>
      <c r="AL96" s="302">
        <v>93</v>
      </c>
      <c r="AM96" t="s">
        <v>411</v>
      </c>
    </row>
    <row r="97" spans="1:39" ht="12.75">
      <c r="A97" s="441">
        <v>40680</v>
      </c>
      <c r="B97" s="301">
        <v>0.0917</v>
      </c>
      <c r="C97" s="301">
        <v>2.7707</v>
      </c>
      <c r="D97" s="301">
        <v>2.9304</v>
      </c>
      <c r="E97" s="301">
        <v>0.3565</v>
      </c>
      <c r="F97" s="301">
        <v>2.8468</v>
      </c>
      <c r="G97" s="301">
        <v>2.1616</v>
      </c>
      <c r="H97" s="301">
        <v>2.2234</v>
      </c>
      <c r="I97" s="301">
        <v>3.9269</v>
      </c>
      <c r="J97" s="301">
        <v>1.4656</v>
      </c>
      <c r="K97" s="301">
        <v>3.1271</v>
      </c>
      <c r="L97" s="301">
        <v>4.5124</v>
      </c>
      <c r="M97" s="301">
        <v>0.3472</v>
      </c>
      <c r="N97" s="301">
        <v>3.3927</v>
      </c>
      <c r="O97" s="301">
        <v>0.1604</v>
      </c>
      <c r="P97" s="301">
        <v>0.5267</v>
      </c>
      <c r="R97" s="301">
        <v>2.4035</v>
      </c>
      <c r="S97" s="301">
        <v>0.4958</v>
      </c>
      <c r="U97" s="301">
        <v>0.4363</v>
      </c>
      <c r="V97" s="301">
        <v>0.5303</v>
      </c>
      <c r="W97" s="301">
        <v>0.9565</v>
      </c>
      <c r="X97" s="301">
        <v>2.0078</v>
      </c>
      <c r="Y97" s="301">
        <v>1.7489</v>
      </c>
      <c r="Z97" s="301">
        <v>1.1373</v>
      </c>
      <c r="AA97" s="301">
        <v>5.5371</v>
      </c>
      <c r="AB97" s="301">
        <v>0.064</v>
      </c>
      <c r="AC97" s="301">
        <v>0.2359</v>
      </c>
      <c r="AD97" s="301">
        <v>0.3969</v>
      </c>
      <c r="AE97" s="301">
        <v>1.6944</v>
      </c>
      <c r="AF97" s="301">
        <v>0.9099</v>
      </c>
      <c r="AG97" s="301">
        <v>0.0984</v>
      </c>
      <c r="AH97" s="301">
        <v>3.2316</v>
      </c>
      <c r="AI97" s="301">
        <v>0.2545</v>
      </c>
      <c r="AJ97" s="301">
        <v>0.4257</v>
      </c>
      <c r="AK97" s="301">
        <v>4.4042</v>
      </c>
      <c r="AL97" s="302">
        <v>94</v>
      </c>
      <c r="AM97" t="s">
        <v>411</v>
      </c>
    </row>
    <row r="98" spans="1:39" ht="12.75">
      <c r="A98" s="441">
        <v>40681</v>
      </c>
      <c r="B98" s="301">
        <v>0.0909</v>
      </c>
      <c r="C98" s="301">
        <v>2.7501</v>
      </c>
      <c r="D98" s="301">
        <v>2.9158</v>
      </c>
      <c r="E98" s="301">
        <v>0.3537</v>
      </c>
      <c r="F98" s="301">
        <v>2.8286</v>
      </c>
      <c r="G98" s="301">
        <v>2.1679</v>
      </c>
      <c r="H98" s="301">
        <v>2.213</v>
      </c>
      <c r="I98" s="301">
        <v>3.9205</v>
      </c>
      <c r="J98" s="301">
        <v>1.4653</v>
      </c>
      <c r="K98" s="301">
        <v>3.1227</v>
      </c>
      <c r="L98" s="301">
        <v>4.4571</v>
      </c>
      <c r="M98" s="301">
        <v>0.3437</v>
      </c>
      <c r="N98" s="301">
        <v>3.391</v>
      </c>
      <c r="O98" s="301">
        <v>0.1602</v>
      </c>
      <c r="P98" s="301">
        <v>0.5257</v>
      </c>
      <c r="R98" s="301">
        <v>2.3905</v>
      </c>
      <c r="S98" s="301">
        <v>0.4953</v>
      </c>
      <c r="U98" s="301">
        <v>0.4368</v>
      </c>
      <c r="V98" s="301">
        <v>0.53</v>
      </c>
      <c r="W98" s="301">
        <v>0.9521</v>
      </c>
      <c r="X98" s="301">
        <v>2.0046</v>
      </c>
      <c r="Y98" s="301">
        <v>1.7369</v>
      </c>
      <c r="Z98" s="301">
        <v>1.1354</v>
      </c>
      <c r="AA98" s="301">
        <v>5.5242</v>
      </c>
      <c r="AB98" s="301">
        <v>0.0636</v>
      </c>
      <c r="AC98" s="301">
        <v>0.2346</v>
      </c>
      <c r="AD98" s="301">
        <v>0.3971</v>
      </c>
      <c r="AE98" s="301">
        <v>1.7014</v>
      </c>
      <c r="AF98" s="301">
        <v>0.9068</v>
      </c>
      <c r="AG98" s="301">
        <v>0.098</v>
      </c>
      <c r="AH98" s="301">
        <v>3.2121</v>
      </c>
      <c r="AI98" s="301">
        <v>0.2527</v>
      </c>
      <c r="AJ98" s="301">
        <v>0.4227</v>
      </c>
      <c r="AK98" s="301">
        <v>4.3972</v>
      </c>
      <c r="AL98" s="302">
        <v>95</v>
      </c>
      <c r="AM98" t="s">
        <v>411</v>
      </c>
    </row>
    <row r="99" spans="1:39" ht="12.75">
      <c r="A99" s="441">
        <v>40682</v>
      </c>
      <c r="B99" s="301">
        <v>0.0911</v>
      </c>
      <c r="C99" s="301">
        <v>2.757</v>
      </c>
      <c r="D99" s="301">
        <v>2.9318</v>
      </c>
      <c r="E99" s="301">
        <v>0.3546</v>
      </c>
      <c r="F99" s="301">
        <v>2.8452</v>
      </c>
      <c r="G99" s="301">
        <v>2.1774</v>
      </c>
      <c r="H99" s="301">
        <v>2.2241</v>
      </c>
      <c r="I99" s="301">
        <v>3.9205</v>
      </c>
      <c r="J99" s="301">
        <v>1.4608</v>
      </c>
      <c r="K99" s="301">
        <v>3.1214</v>
      </c>
      <c r="L99" s="301">
        <v>4.4536</v>
      </c>
      <c r="M99" s="301">
        <v>0.3448</v>
      </c>
      <c r="N99" s="301">
        <v>3.3661</v>
      </c>
      <c r="O99" s="301">
        <v>0.16</v>
      </c>
      <c r="P99" s="301">
        <v>0.5257</v>
      </c>
      <c r="R99" s="301">
        <v>2.3907</v>
      </c>
      <c r="S99" s="301">
        <v>0.4963</v>
      </c>
      <c r="U99" s="301">
        <v>0.4361</v>
      </c>
      <c r="V99" s="301">
        <v>0.5289</v>
      </c>
      <c r="W99" s="301">
        <v>0.9504</v>
      </c>
      <c r="X99" s="301">
        <v>2.0046</v>
      </c>
      <c r="Y99" s="301">
        <v>1.7466</v>
      </c>
      <c r="Z99" s="301">
        <v>1.1354</v>
      </c>
      <c r="AA99" s="301">
        <v>5.5273</v>
      </c>
      <c r="AB99" s="301">
        <v>0.0639</v>
      </c>
      <c r="AC99" s="301">
        <v>0.2352</v>
      </c>
      <c r="AD99" s="301">
        <v>0.3973</v>
      </c>
      <c r="AE99" s="301">
        <v>1.7132</v>
      </c>
      <c r="AF99" s="301">
        <v>0.9101</v>
      </c>
      <c r="AG99" s="301">
        <v>0.0983</v>
      </c>
      <c r="AH99" s="301">
        <v>3.2224</v>
      </c>
      <c r="AI99" s="301">
        <v>0.2538</v>
      </c>
      <c r="AJ99" s="301">
        <v>0.4239</v>
      </c>
      <c r="AK99" s="301">
        <v>4.3852</v>
      </c>
      <c r="AL99" s="302">
        <v>96</v>
      </c>
      <c r="AM99" t="s">
        <v>411</v>
      </c>
    </row>
    <row r="100" spans="1:39" ht="12.75">
      <c r="A100" s="441">
        <v>40683</v>
      </c>
      <c r="B100" s="301">
        <v>0.0904</v>
      </c>
      <c r="C100" s="301">
        <v>2.7377</v>
      </c>
      <c r="D100" s="301">
        <v>2.9269</v>
      </c>
      <c r="E100" s="301">
        <v>0.3523</v>
      </c>
      <c r="F100" s="301">
        <v>2.8373</v>
      </c>
      <c r="G100" s="301">
        <v>2.1788</v>
      </c>
      <c r="H100" s="301">
        <v>2.2167</v>
      </c>
      <c r="I100" s="301">
        <v>3.9207</v>
      </c>
      <c r="J100" s="301">
        <v>1.47</v>
      </c>
      <c r="K100" s="301">
        <v>3.1135</v>
      </c>
      <c r="L100" s="301">
        <v>4.4503</v>
      </c>
      <c r="M100" s="301">
        <v>0.3424</v>
      </c>
      <c r="N100" s="301">
        <v>3.3576</v>
      </c>
      <c r="O100" s="301">
        <v>0.1605</v>
      </c>
      <c r="P100" s="301">
        <v>0.5257</v>
      </c>
      <c r="R100" s="301">
        <v>2.3841</v>
      </c>
      <c r="S100" s="301">
        <v>0.4999</v>
      </c>
      <c r="U100" s="301">
        <v>0.4392</v>
      </c>
      <c r="V100" s="301">
        <v>0.5284</v>
      </c>
      <c r="W100" s="301">
        <v>0.9542</v>
      </c>
      <c r="X100" s="301">
        <v>2.0047</v>
      </c>
      <c r="Y100" s="301">
        <v>1.7367</v>
      </c>
      <c r="Z100" s="301">
        <v>1.1355</v>
      </c>
      <c r="AA100" s="301">
        <v>5.5299</v>
      </c>
      <c r="AB100" s="301">
        <v>0.0635</v>
      </c>
      <c r="AC100" s="301">
        <v>0.2359</v>
      </c>
      <c r="AD100" s="301">
        <v>0.3976</v>
      </c>
      <c r="AE100" s="301">
        <v>1.6938</v>
      </c>
      <c r="AF100" s="301">
        <v>0.909</v>
      </c>
      <c r="AG100" s="301">
        <v>0.098</v>
      </c>
      <c r="AH100" s="301">
        <v>3.2069</v>
      </c>
      <c r="AI100" s="301">
        <v>0.2529</v>
      </c>
      <c r="AJ100" s="301">
        <v>0.4218</v>
      </c>
      <c r="AK100" s="301">
        <v>4.3732</v>
      </c>
      <c r="AL100" s="302">
        <v>97</v>
      </c>
      <c r="AM100" t="s">
        <v>411</v>
      </c>
    </row>
    <row r="101" spans="1:39" ht="12.75">
      <c r="A101" s="441">
        <v>40686</v>
      </c>
      <c r="B101" s="301">
        <v>0.0927</v>
      </c>
      <c r="C101" s="301">
        <v>2.8193</v>
      </c>
      <c r="D101" s="301">
        <v>2.9708</v>
      </c>
      <c r="E101" s="301">
        <v>0.3625</v>
      </c>
      <c r="F101" s="301">
        <v>2.8784</v>
      </c>
      <c r="G101" s="301">
        <v>2.2244</v>
      </c>
      <c r="H101" s="301">
        <v>2.2592</v>
      </c>
      <c r="I101" s="301">
        <v>3.9437</v>
      </c>
      <c r="J101" s="301">
        <v>1.4585</v>
      </c>
      <c r="K101" s="301">
        <v>3.1929</v>
      </c>
      <c r="L101" s="301">
        <v>4.5502</v>
      </c>
      <c r="M101" s="301">
        <v>0.3521</v>
      </c>
      <c r="N101" s="301">
        <v>3.4565</v>
      </c>
      <c r="O101" s="301">
        <v>0.1605</v>
      </c>
      <c r="P101" s="301">
        <v>0.5288</v>
      </c>
      <c r="R101" s="301">
        <v>2.3988</v>
      </c>
      <c r="S101" s="301">
        <v>0.5026</v>
      </c>
      <c r="U101" s="301">
        <v>0.4417</v>
      </c>
      <c r="V101" s="301">
        <v>0.5314</v>
      </c>
      <c r="W101" s="301">
        <v>0.9556</v>
      </c>
      <c r="X101" s="301">
        <v>2.0164</v>
      </c>
      <c r="Y101" s="301">
        <v>1.7512</v>
      </c>
      <c r="Z101" s="301">
        <v>1.1422</v>
      </c>
      <c r="AA101" s="301">
        <v>5.5616</v>
      </c>
      <c r="AB101" s="301">
        <v>0.0649</v>
      </c>
      <c r="AC101" s="301">
        <v>0.2405</v>
      </c>
      <c r="AD101" s="301">
        <v>0.4017</v>
      </c>
      <c r="AE101" s="301">
        <v>1.7371</v>
      </c>
      <c r="AF101" s="301">
        <v>0.9208</v>
      </c>
      <c r="AG101" s="301">
        <v>0.0992</v>
      </c>
      <c r="AH101" s="301">
        <v>3.2858</v>
      </c>
      <c r="AI101" s="301">
        <v>0.2567</v>
      </c>
      <c r="AJ101" s="301">
        <v>0.4332</v>
      </c>
      <c r="AK101" s="301">
        <v>4.4076</v>
      </c>
      <c r="AL101" s="302">
        <v>98</v>
      </c>
      <c r="AM101" t="s">
        <v>411</v>
      </c>
    </row>
    <row r="102" spans="1:39" ht="12.75">
      <c r="A102" s="441">
        <v>40687</v>
      </c>
      <c r="B102" s="301">
        <v>0.0924</v>
      </c>
      <c r="C102" s="301">
        <v>2.8024</v>
      </c>
      <c r="D102" s="301">
        <v>2.9631</v>
      </c>
      <c r="E102" s="301">
        <v>0.3605</v>
      </c>
      <c r="F102" s="301">
        <v>2.8709</v>
      </c>
      <c r="G102" s="301">
        <v>2.2387</v>
      </c>
      <c r="H102" s="301">
        <v>2.2483</v>
      </c>
      <c r="I102" s="301">
        <v>3.9481</v>
      </c>
      <c r="J102" s="301">
        <v>1.4617</v>
      </c>
      <c r="K102" s="301">
        <v>3.1767</v>
      </c>
      <c r="L102" s="301">
        <v>4.5196</v>
      </c>
      <c r="M102" s="301">
        <v>0.3512</v>
      </c>
      <c r="N102" s="301">
        <v>3.4246</v>
      </c>
      <c r="O102" s="301">
        <v>0.1608</v>
      </c>
      <c r="P102" s="301">
        <v>0.5295</v>
      </c>
      <c r="R102" s="301">
        <v>2.402</v>
      </c>
      <c r="S102" s="301">
        <v>0.5033</v>
      </c>
      <c r="U102" s="301">
        <v>0.4429</v>
      </c>
      <c r="V102" s="301">
        <v>0.531</v>
      </c>
      <c r="W102" s="301">
        <v>0.9575</v>
      </c>
      <c r="X102" s="301">
        <v>2.0187</v>
      </c>
      <c r="Y102" s="301">
        <v>1.7533</v>
      </c>
      <c r="Z102" s="301">
        <v>1.1434</v>
      </c>
      <c r="AA102" s="301">
        <v>5.5662</v>
      </c>
      <c r="AB102" s="301">
        <v>0.0646</v>
      </c>
      <c r="AC102" s="301">
        <v>0.2393</v>
      </c>
      <c r="AD102" s="301">
        <v>0.4005</v>
      </c>
      <c r="AE102" s="301">
        <v>1.7153</v>
      </c>
      <c r="AF102" s="301">
        <v>0.9184</v>
      </c>
      <c r="AG102" s="301">
        <v>0.0987</v>
      </c>
      <c r="AH102" s="301">
        <v>3.2718</v>
      </c>
      <c r="AI102" s="301">
        <v>0.2563</v>
      </c>
      <c r="AJ102" s="301">
        <v>0.4313</v>
      </c>
      <c r="AK102" s="301">
        <v>4.447</v>
      </c>
      <c r="AL102" s="302">
        <v>99</v>
      </c>
      <c r="AM102" t="s">
        <v>411</v>
      </c>
    </row>
    <row r="103" spans="1:39" ht="12.75">
      <c r="A103" s="441">
        <v>40688</v>
      </c>
      <c r="B103" s="301">
        <v>0.0924</v>
      </c>
      <c r="C103" s="301">
        <v>2.81</v>
      </c>
      <c r="D103" s="301">
        <v>2.9474</v>
      </c>
      <c r="E103" s="301">
        <v>0.3612</v>
      </c>
      <c r="F103" s="301">
        <v>2.8686</v>
      </c>
      <c r="G103" s="301">
        <v>2.233</v>
      </c>
      <c r="H103" s="301">
        <v>2.2468</v>
      </c>
      <c r="I103" s="301">
        <v>3.9511</v>
      </c>
      <c r="J103" s="301">
        <v>1.4665</v>
      </c>
      <c r="K103" s="301">
        <v>3.2038</v>
      </c>
      <c r="L103" s="301">
        <v>4.5412</v>
      </c>
      <c r="M103" s="301">
        <v>0.3515</v>
      </c>
      <c r="N103" s="301">
        <v>3.4223</v>
      </c>
      <c r="O103" s="301">
        <v>0.1608</v>
      </c>
      <c r="P103" s="301">
        <v>0.5299</v>
      </c>
      <c r="R103" s="301">
        <v>2.4048</v>
      </c>
      <c r="S103" s="301">
        <v>0.5039</v>
      </c>
      <c r="U103" s="301">
        <v>0.4427</v>
      </c>
      <c r="V103" s="301">
        <v>0.5309</v>
      </c>
      <c r="W103" s="301">
        <v>0.957</v>
      </c>
      <c r="X103" s="301">
        <v>2.0202</v>
      </c>
      <c r="Y103" s="301">
        <v>1.751</v>
      </c>
      <c r="Z103" s="301">
        <v>1.1443</v>
      </c>
      <c r="AA103" s="301">
        <v>5.5712</v>
      </c>
      <c r="AB103" s="301">
        <v>0.0645</v>
      </c>
      <c r="AC103" s="301">
        <v>0.2398</v>
      </c>
      <c r="AD103" s="301">
        <v>0.3997</v>
      </c>
      <c r="AE103" s="301">
        <v>1.7299</v>
      </c>
      <c r="AF103" s="301">
        <v>0.9164</v>
      </c>
      <c r="AG103" s="301">
        <v>0.0987</v>
      </c>
      <c r="AH103" s="301">
        <v>3.2703</v>
      </c>
      <c r="AI103" s="301">
        <v>0.2549</v>
      </c>
      <c r="AJ103" s="301">
        <v>0.4327</v>
      </c>
      <c r="AK103" s="301">
        <v>4.4417</v>
      </c>
      <c r="AL103" s="302">
        <v>100</v>
      </c>
      <c r="AM103" t="s">
        <v>411</v>
      </c>
    </row>
    <row r="104" spans="1:39" ht="12.75">
      <c r="A104" s="441">
        <v>40689</v>
      </c>
      <c r="B104" s="301">
        <v>0.0923</v>
      </c>
      <c r="C104" s="301">
        <v>2.8033</v>
      </c>
      <c r="D104" s="301">
        <v>2.966</v>
      </c>
      <c r="E104" s="301">
        <v>0.3602</v>
      </c>
      <c r="F104" s="301">
        <v>2.8644</v>
      </c>
      <c r="G104" s="301">
        <v>2.2634</v>
      </c>
      <c r="H104" s="301">
        <v>2.2511</v>
      </c>
      <c r="I104" s="301">
        <v>3.9685</v>
      </c>
      <c r="J104" s="301">
        <v>1.4769</v>
      </c>
      <c r="K104" s="301">
        <v>3.2195</v>
      </c>
      <c r="L104" s="301">
        <v>4.5652</v>
      </c>
      <c r="M104" s="301">
        <v>0.3518</v>
      </c>
      <c r="N104" s="301">
        <v>3.4298</v>
      </c>
      <c r="O104" s="301">
        <v>0.1611</v>
      </c>
      <c r="P104" s="301">
        <v>0.5322</v>
      </c>
      <c r="R104" s="301">
        <v>2.4136</v>
      </c>
      <c r="S104" s="301">
        <v>0.5082</v>
      </c>
      <c r="U104" s="301">
        <v>0.4452</v>
      </c>
      <c r="V104" s="301">
        <v>0.5337</v>
      </c>
      <c r="W104" s="301">
        <v>0.96</v>
      </c>
      <c r="X104" s="301">
        <v>2.0291</v>
      </c>
      <c r="Y104" s="301">
        <v>1.7532</v>
      </c>
      <c r="Z104" s="301">
        <v>1.1493</v>
      </c>
      <c r="AA104" s="301">
        <v>5.591</v>
      </c>
      <c r="AB104" s="301">
        <v>0.0645</v>
      </c>
      <c r="AC104" s="301">
        <v>0.2401</v>
      </c>
      <c r="AD104" s="301">
        <v>0.4018</v>
      </c>
      <c r="AE104" s="301">
        <v>1.7209</v>
      </c>
      <c r="AF104" s="301">
        <v>0.9203</v>
      </c>
      <c r="AG104" s="301">
        <v>0.0993</v>
      </c>
      <c r="AH104" s="301">
        <v>3.2683</v>
      </c>
      <c r="AI104" s="301">
        <v>0.2575</v>
      </c>
      <c r="AJ104" s="301">
        <v>0.4318</v>
      </c>
      <c r="AK104" s="301">
        <v>4.4638</v>
      </c>
      <c r="AL104" s="302">
        <v>101</v>
      </c>
      <c r="AM104" t="s">
        <v>411</v>
      </c>
    </row>
    <row r="105" spans="1:39" ht="12.75">
      <c r="A105" s="441">
        <v>40690</v>
      </c>
      <c r="B105" s="301">
        <v>0.0924</v>
      </c>
      <c r="C105" s="301">
        <v>2.8003</v>
      </c>
      <c r="D105" s="301">
        <v>2.9841</v>
      </c>
      <c r="E105" s="301">
        <v>0.3599</v>
      </c>
      <c r="F105" s="301">
        <v>2.8626</v>
      </c>
      <c r="G105" s="301">
        <v>2.2801</v>
      </c>
      <c r="H105" s="301">
        <v>2.261</v>
      </c>
      <c r="I105" s="301">
        <v>3.9785</v>
      </c>
      <c r="J105" s="301">
        <v>1.4792</v>
      </c>
      <c r="K105" s="301">
        <v>3.2612</v>
      </c>
      <c r="L105" s="301">
        <v>4.5944</v>
      </c>
      <c r="M105" s="301">
        <v>0.3502</v>
      </c>
      <c r="N105" s="301">
        <v>3.4567</v>
      </c>
      <c r="O105" s="301">
        <v>0.1616</v>
      </c>
      <c r="P105" s="301">
        <v>0.5336</v>
      </c>
      <c r="R105" s="301">
        <v>2.4149</v>
      </c>
      <c r="S105" s="301">
        <v>0.511</v>
      </c>
      <c r="U105" s="301">
        <v>0.4469</v>
      </c>
      <c r="V105" s="301">
        <v>0.5351</v>
      </c>
      <c r="W105" s="301">
        <v>0.9638</v>
      </c>
      <c r="X105" s="301">
        <v>2.0342</v>
      </c>
      <c r="Y105" s="301">
        <v>1.7376</v>
      </c>
      <c r="Z105" s="301">
        <v>1.1522</v>
      </c>
      <c r="AA105" s="301">
        <v>5.6098</v>
      </c>
      <c r="AB105" s="301">
        <v>0.0646</v>
      </c>
      <c r="AC105" s="301">
        <v>0.2399</v>
      </c>
      <c r="AD105" s="301">
        <v>0.4026</v>
      </c>
      <c r="AE105" s="301">
        <v>1.7329</v>
      </c>
      <c r="AF105" s="301">
        <v>0.9236</v>
      </c>
      <c r="AG105" s="301">
        <v>0.0994</v>
      </c>
      <c r="AH105" s="301">
        <v>3.2712</v>
      </c>
      <c r="AI105" s="301">
        <v>0.2587</v>
      </c>
      <c r="AJ105" s="301">
        <v>0.4313</v>
      </c>
      <c r="AK105" s="301">
        <v>4.4603</v>
      </c>
      <c r="AL105" s="302">
        <v>102</v>
      </c>
      <c r="AM105" t="s">
        <v>411</v>
      </c>
    </row>
    <row r="106" spans="1:39" ht="12.75">
      <c r="A106" s="441">
        <v>40693</v>
      </c>
      <c r="B106" s="301">
        <v>0.0917</v>
      </c>
      <c r="C106" s="301">
        <v>2.781</v>
      </c>
      <c r="D106" s="301">
        <v>2.9732</v>
      </c>
      <c r="E106" s="301">
        <v>0.3575</v>
      </c>
      <c r="F106" s="301">
        <v>2.8477</v>
      </c>
      <c r="G106" s="301">
        <v>2.2722</v>
      </c>
      <c r="H106" s="301">
        <v>2.2533</v>
      </c>
      <c r="I106" s="301">
        <v>3.9726</v>
      </c>
      <c r="J106" s="301">
        <v>1.4823</v>
      </c>
      <c r="K106" s="301">
        <v>3.2694</v>
      </c>
      <c r="L106" s="301">
        <v>4.5828</v>
      </c>
      <c r="M106" s="301">
        <v>0.3487</v>
      </c>
      <c r="N106" s="301">
        <v>3.4402</v>
      </c>
      <c r="O106" s="301">
        <v>0.1622</v>
      </c>
      <c r="P106" s="301">
        <v>0.5328</v>
      </c>
      <c r="R106" s="301">
        <v>2.4092</v>
      </c>
      <c r="S106" s="301">
        <v>0.512</v>
      </c>
      <c r="U106" s="301">
        <v>0.4467</v>
      </c>
      <c r="V106" s="301">
        <v>0.534</v>
      </c>
      <c r="W106" s="301">
        <v>0.964</v>
      </c>
      <c r="X106" s="301">
        <v>2.0312</v>
      </c>
      <c r="Y106" s="301">
        <v>1.7382</v>
      </c>
      <c r="Z106" s="301">
        <v>1.1505</v>
      </c>
      <c r="AA106" s="301">
        <v>5.6007</v>
      </c>
      <c r="AB106" s="301">
        <v>0.0642</v>
      </c>
      <c r="AC106" s="301">
        <v>0.2396</v>
      </c>
      <c r="AD106" s="301">
        <v>0.4026</v>
      </c>
      <c r="AE106" s="301">
        <v>1.7442</v>
      </c>
      <c r="AF106" s="301">
        <v>0.9213</v>
      </c>
      <c r="AG106" s="301">
        <v>0.0991</v>
      </c>
      <c r="AH106" s="301">
        <v>3.255</v>
      </c>
      <c r="AI106" s="301">
        <v>0.2575</v>
      </c>
      <c r="AJ106" s="301">
        <v>0.429</v>
      </c>
      <c r="AK106" s="301">
        <v>4.4362</v>
      </c>
      <c r="AL106" s="302">
        <v>103</v>
      </c>
      <c r="AM106" t="s">
        <v>411</v>
      </c>
    </row>
    <row r="107" spans="1:39" ht="12.75">
      <c r="A107" s="441">
        <v>40694</v>
      </c>
      <c r="B107" s="301">
        <v>0.0908</v>
      </c>
      <c r="C107" s="301">
        <v>2.7468</v>
      </c>
      <c r="D107" s="301">
        <v>2.9351</v>
      </c>
      <c r="E107" s="301">
        <v>0.3529</v>
      </c>
      <c r="F107" s="301">
        <v>2.8264</v>
      </c>
      <c r="G107" s="301">
        <v>2.2638</v>
      </c>
      <c r="H107" s="301">
        <v>2.2275</v>
      </c>
      <c r="I107" s="301">
        <v>3.9569</v>
      </c>
      <c r="J107" s="301">
        <v>1.4831</v>
      </c>
      <c r="K107" s="301">
        <v>3.2254</v>
      </c>
      <c r="L107" s="301">
        <v>4.5312</v>
      </c>
      <c r="M107" s="301">
        <v>0.3439</v>
      </c>
      <c r="N107" s="301">
        <v>3.3709</v>
      </c>
      <c r="O107" s="301">
        <v>0.1615</v>
      </c>
      <c r="P107" s="301">
        <v>0.5307</v>
      </c>
      <c r="R107" s="301">
        <v>2.3919</v>
      </c>
      <c r="S107" s="301">
        <v>0.5112</v>
      </c>
      <c r="U107" s="301">
        <v>0.4455</v>
      </c>
      <c r="V107" s="301">
        <v>0.5314</v>
      </c>
      <c r="W107" s="301">
        <v>0.9597</v>
      </c>
      <c r="X107" s="301">
        <v>2.0232</v>
      </c>
      <c r="Y107" s="301">
        <v>1.7259</v>
      </c>
      <c r="Z107" s="301">
        <v>1.146</v>
      </c>
      <c r="AA107" s="301">
        <v>5.5786</v>
      </c>
      <c r="AB107" s="301">
        <v>0.0635</v>
      </c>
      <c r="AC107" s="301">
        <v>0.2376</v>
      </c>
      <c r="AD107" s="301">
        <v>0.3982</v>
      </c>
      <c r="AE107" s="301">
        <v>1.7291</v>
      </c>
      <c r="AF107" s="301">
        <v>0.9113</v>
      </c>
      <c r="AG107" s="301">
        <v>0.0982</v>
      </c>
      <c r="AH107" s="301">
        <v>3.2168</v>
      </c>
      <c r="AI107" s="301">
        <v>0.2545</v>
      </c>
      <c r="AJ107" s="301">
        <v>0.4239</v>
      </c>
      <c r="AK107" s="301">
        <v>4.4187</v>
      </c>
      <c r="AL107" s="302">
        <v>104</v>
      </c>
      <c r="AM107" t="s">
        <v>411</v>
      </c>
    </row>
    <row r="108" spans="1:39" ht="12.75">
      <c r="A108" s="441">
        <v>40695</v>
      </c>
      <c r="B108" s="301">
        <v>0.0909</v>
      </c>
      <c r="C108" s="301">
        <v>2.7479</v>
      </c>
      <c r="D108" s="301">
        <v>2.9456</v>
      </c>
      <c r="E108" s="301">
        <v>0.3534</v>
      </c>
      <c r="F108" s="301">
        <v>2.8358</v>
      </c>
      <c r="G108" s="301">
        <v>2.2628</v>
      </c>
      <c r="H108" s="301">
        <v>2.2325</v>
      </c>
      <c r="I108" s="301">
        <v>3.9595</v>
      </c>
      <c r="J108" s="301">
        <v>1.4863</v>
      </c>
      <c r="K108" s="301">
        <v>3.2403</v>
      </c>
      <c r="L108" s="301">
        <v>4.5084</v>
      </c>
      <c r="M108" s="301">
        <v>0.3436</v>
      </c>
      <c r="N108" s="301">
        <v>3.3793</v>
      </c>
      <c r="O108" s="301">
        <v>0.1615</v>
      </c>
      <c r="P108" s="301">
        <v>0.5311</v>
      </c>
      <c r="R108" s="301">
        <v>2.3971</v>
      </c>
      <c r="S108" s="301">
        <v>0.5117</v>
      </c>
      <c r="U108" s="301">
        <v>0.4452</v>
      </c>
      <c r="V108" s="301">
        <v>0.5318</v>
      </c>
      <c r="W108" s="301">
        <v>0.9587</v>
      </c>
      <c r="X108" s="301">
        <v>2.0245</v>
      </c>
      <c r="Y108" s="301">
        <v>1.7283</v>
      </c>
      <c r="Z108" s="301">
        <v>1.1467</v>
      </c>
      <c r="AA108" s="301">
        <v>5.5823</v>
      </c>
      <c r="AB108" s="301">
        <v>0.0637</v>
      </c>
      <c r="AC108" s="301">
        <v>0.2377</v>
      </c>
      <c r="AD108" s="301">
        <v>0.4051</v>
      </c>
      <c r="AE108" s="301">
        <v>1.7396</v>
      </c>
      <c r="AF108" s="301">
        <v>0.9138</v>
      </c>
      <c r="AG108" s="301">
        <v>0.0982</v>
      </c>
      <c r="AH108" s="301">
        <v>3.2199</v>
      </c>
      <c r="AI108" s="301">
        <v>0.2558</v>
      </c>
      <c r="AJ108" s="301">
        <v>0.4243</v>
      </c>
      <c r="AK108" s="301">
        <v>4.4061</v>
      </c>
      <c r="AL108" s="302">
        <v>105</v>
      </c>
      <c r="AM108" t="s">
        <v>411</v>
      </c>
    </row>
    <row r="109" spans="1:39" ht="12.75">
      <c r="A109" s="441">
        <v>40696</v>
      </c>
      <c r="B109" s="301">
        <v>0.091</v>
      </c>
      <c r="C109" s="301">
        <v>2.7578</v>
      </c>
      <c r="D109" s="301">
        <v>2.9348</v>
      </c>
      <c r="E109" s="301">
        <v>0.3546</v>
      </c>
      <c r="F109" s="301">
        <v>2.8196</v>
      </c>
      <c r="G109" s="301">
        <v>2.246</v>
      </c>
      <c r="H109" s="301">
        <v>2.2305</v>
      </c>
      <c r="I109" s="301">
        <v>3.974</v>
      </c>
      <c r="J109" s="301">
        <v>1.4926</v>
      </c>
      <c r="K109" s="301">
        <v>3.2666</v>
      </c>
      <c r="L109" s="301">
        <v>4.5146</v>
      </c>
      <c r="M109" s="301">
        <v>0.3456</v>
      </c>
      <c r="N109" s="301">
        <v>3.4079</v>
      </c>
      <c r="O109" s="301">
        <v>0.1619</v>
      </c>
      <c r="P109" s="301">
        <v>0.533</v>
      </c>
      <c r="R109" s="301">
        <v>2.4044</v>
      </c>
      <c r="S109" s="301">
        <v>0.5111</v>
      </c>
      <c r="U109" s="301">
        <v>0.4428</v>
      </c>
      <c r="V109" s="301">
        <v>0.5329</v>
      </c>
      <c r="W109" s="301">
        <v>0.9613</v>
      </c>
      <c r="X109" s="301">
        <v>2.0319</v>
      </c>
      <c r="Y109" s="301">
        <v>1.7309</v>
      </c>
      <c r="Z109" s="301">
        <v>1.1509</v>
      </c>
      <c r="AA109" s="301">
        <v>5.6027</v>
      </c>
      <c r="AB109" s="301">
        <v>0.0638</v>
      </c>
      <c r="AC109" s="301">
        <v>0.2358</v>
      </c>
      <c r="AD109" s="301">
        <v>0.406</v>
      </c>
      <c r="AE109" s="301">
        <v>1.7309</v>
      </c>
      <c r="AF109" s="301">
        <v>0.9129</v>
      </c>
      <c r="AG109" s="301">
        <v>0.0985</v>
      </c>
      <c r="AH109" s="301">
        <v>3.2312</v>
      </c>
      <c r="AI109" s="301">
        <v>0.2551</v>
      </c>
      <c r="AJ109" s="301">
        <v>0.4254</v>
      </c>
      <c r="AK109" s="301">
        <v>4.4125</v>
      </c>
      <c r="AL109" s="302">
        <v>106</v>
      </c>
      <c r="AM109" t="s">
        <v>411</v>
      </c>
    </row>
    <row r="110" spans="1:39" ht="12.75">
      <c r="A110" s="441">
        <v>40697</v>
      </c>
      <c r="B110" s="301">
        <v>0.0901</v>
      </c>
      <c r="C110" s="301">
        <v>2.7315</v>
      </c>
      <c r="D110" s="301">
        <v>2.9155</v>
      </c>
      <c r="E110" s="301">
        <v>0.3514</v>
      </c>
      <c r="F110" s="301">
        <v>2.7951</v>
      </c>
      <c r="G110" s="301">
        <v>2.222</v>
      </c>
      <c r="H110" s="301">
        <v>2.217</v>
      </c>
      <c r="I110" s="301">
        <v>3.9598</v>
      </c>
      <c r="J110" s="301">
        <v>1.4926</v>
      </c>
      <c r="K110" s="301">
        <v>3.2449</v>
      </c>
      <c r="L110" s="301">
        <v>4.4617</v>
      </c>
      <c r="M110" s="301">
        <v>0.3422</v>
      </c>
      <c r="N110" s="301">
        <v>3.3913</v>
      </c>
      <c r="O110" s="301">
        <v>0.1622</v>
      </c>
      <c r="P110" s="301">
        <v>0.5311</v>
      </c>
      <c r="R110" s="301">
        <v>2.3905</v>
      </c>
      <c r="S110" s="301">
        <v>0.5076</v>
      </c>
      <c r="U110" s="301">
        <v>0.4412</v>
      </c>
      <c r="V110" s="301">
        <v>0.5319</v>
      </c>
      <c r="W110" s="301">
        <v>0.9589</v>
      </c>
      <c r="X110" s="301">
        <v>2.0246</v>
      </c>
      <c r="Y110" s="301">
        <v>1.7262</v>
      </c>
      <c r="Z110" s="301">
        <v>1.1468</v>
      </c>
      <c r="AA110" s="301">
        <v>5.5835</v>
      </c>
      <c r="AB110" s="301">
        <v>0.0632</v>
      </c>
      <c r="AC110" s="301">
        <v>0.2348</v>
      </c>
      <c r="AD110" s="301">
        <v>0.4068</v>
      </c>
      <c r="AE110" s="301">
        <v>1.7343</v>
      </c>
      <c r="AF110" s="301">
        <v>0.9079</v>
      </c>
      <c r="AG110" s="301">
        <v>0.098</v>
      </c>
      <c r="AH110" s="301">
        <v>3.2076</v>
      </c>
      <c r="AI110" s="301">
        <v>0.2534</v>
      </c>
      <c r="AJ110" s="301">
        <v>0.4217</v>
      </c>
      <c r="AK110" s="301">
        <v>4.3918</v>
      </c>
      <c r="AL110" s="302">
        <v>107</v>
      </c>
      <c r="AM110" t="s">
        <v>411</v>
      </c>
    </row>
    <row r="111" spans="1:39" ht="12.75">
      <c r="A111" s="441">
        <v>40700</v>
      </c>
      <c r="B111" s="301">
        <v>0.0895</v>
      </c>
      <c r="C111" s="301">
        <v>2.7071</v>
      </c>
      <c r="D111" s="301">
        <v>2.9062</v>
      </c>
      <c r="E111" s="301">
        <v>0.348</v>
      </c>
      <c r="F111" s="301">
        <v>2.7585</v>
      </c>
      <c r="G111" s="301">
        <v>2.2087</v>
      </c>
      <c r="H111" s="301">
        <v>2.2013</v>
      </c>
      <c r="I111" s="301">
        <v>3.9621</v>
      </c>
      <c r="J111" s="301">
        <v>1.494</v>
      </c>
      <c r="K111" s="301">
        <v>3.2356</v>
      </c>
      <c r="L111" s="301">
        <v>4.4451</v>
      </c>
      <c r="M111" s="301">
        <v>0.3391</v>
      </c>
      <c r="N111" s="301">
        <v>3.3777</v>
      </c>
      <c r="O111" s="301">
        <v>0.1628</v>
      </c>
      <c r="P111" s="301">
        <v>0.5314</v>
      </c>
      <c r="R111" s="301">
        <v>2.3847</v>
      </c>
      <c r="S111" s="301">
        <v>0.5063</v>
      </c>
      <c r="U111" s="301">
        <v>0.4403</v>
      </c>
      <c r="V111" s="301">
        <v>0.5315</v>
      </c>
      <c r="W111" s="301">
        <v>0.9589</v>
      </c>
      <c r="X111" s="301">
        <v>2.0258</v>
      </c>
      <c r="Y111" s="301">
        <v>1.7132</v>
      </c>
      <c r="Z111" s="301">
        <v>1.1475</v>
      </c>
      <c r="AA111" s="301">
        <v>5.5844</v>
      </c>
      <c r="AB111" s="301">
        <v>0.0627</v>
      </c>
      <c r="AC111" s="301">
        <v>0.2315</v>
      </c>
      <c r="AD111" s="301">
        <v>0.4045</v>
      </c>
      <c r="AE111" s="301">
        <v>1.7178</v>
      </c>
      <c r="AF111" s="301">
        <v>0.9009</v>
      </c>
      <c r="AG111" s="301">
        <v>0.0974</v>
      </c>
      <c r="AH111" s="301">
        <v>3.1819</v>
      </c>
      <c r="AI111" s="301">
        <v>0.2511</v>
      </c>
      <c r="AJ111" s="301">
        <v>0.4178</v>
      </c>
      <c r="AK111" s="301">
        <v>4.387</v>
      </c>
      <c r="AL111" s="302">
        <v>108</v>
      </c>
      <c r="AM111" t="s">
        <v>411</v>
      </c>
    </row>
    <row r="112" spans="1:39" ht="12.75">
      <c r="A112" s="441">
        <v>40701</v>
      </c>
      <c r="B112" s="301">
        <v>0.0889</v>
      </c>
      <c r="C112" s="301">
        <v>2.6891</v>
      </c>
      <c r="D112" s="301">
        <v>2.8785</v>
      </c>
      <c r="E112" s="301">
        <v>0.3457</v>
      </c>
      <c r="F112" s="301">
        <v>2.7575</v>
      </c>
      <c r="G112" s="301">
        <v>2.2114</v>
      </c>
      <c r="H112" s="301">
        <v>2.1882</v>
      </c>
      <c r="I112" s="301">
        <v>3.9476</v>
      </c>
      <c r="J112" s="301">
        <v>1.4888</v>
      </c>
      <c r="K112" s="301">
        <v>3.2277</v>
      </c>
      <c r="L112" s="301">
        <v>4.4258</v>
      </c>
      <c r="M112" s="301">
        <v>0.3374</v>
      </c>
      <c r="N112" s="301">
        <v>3.3532</v>
      </c>
      <c r="O112" s="301">
        <v>0.163</v>
      </c>
      <c r="P112" s="301">
        <v>0.5295</v>
      </c>
      <c r="R112" s="301">
        <v>2.3731</v>
      </c>
      <c r="S112" s="301">
        <v>0.5032</v>
      </c>
      <c r="U112" s="301">
        <v>0.4377</v>
      </c>
      <c r="V112" s="301">
        <v>0.5296</v>
      </c>
      <c r="W112" s="301">
        <v>0.9519</v>
      </c>
      <c r="X112" s="301">
        <v>2.0184</v>
      </c>
      <c r="Y112" s="301">
        <v>1.7041</v>
      </c>
      <c r="Z112" s="301">
        <v>1.1433</v>
      </c>
      <c r="AA112" s="301">
        <v>5.5655</v>
      </c>
      <c r="AB112" s="301">
        <v>0.0622</v>
      </c>
      <c r="AC112" s="301">
        <v>0.2295</v>
      </c>
      <c r="AD112" s="301">
        <v>0.3988</v>
      </c>
      <c r="AE112" s="301">
        <v>1.6976</v>
      </c>
      <c r="AF112" s="301">
        <v>0.8942</v>
      </c>
      <c r="AG112" s="301">
        <v>0.097</v>
      </c>
      <c r="AH112" s="301">
        <v>3.1578</v>
      </c>
      <c r="AI112" s="301">
        <v>0.2486</v>
      </c>
      <c r="AJ112" s="301">
        <v>0.4149</v>
      </c>
      <c r="AK112" s="301">
        <v>4.3571</v>
      </c>
      <c r="AL112" s="302">
        <v>109</v>
      </c>
      <c r="AM112" t="s">
        <v>411</v>
      </c>
    </row>
    <row r="113" spans="1:39" ht="12.75">
      <c r="A113" s="441">
        <v>40702</v>
      </c>
      <c r="B113" s="301">
        <v>0.0891</v>
      </c>
      <c r="C113" s="301">
        <v>2.6943</v>
      </c>
      <c r="D113" s="301">
        <v>2.8654</v>
      </c>
      <c r="E113" s="301">
        <v>0.3469</v>
      </c>
      <c r="F113" s="301">
        <v>2.75</v>
      </c>
      <c r="G113" s="301">
        <v>2.1992</v>
      </c>
      <c r="H113" s="301">
        <v>2.1879</v>
      </c>
      <c r="I113" s="301">
        <v>3.949</v>
      </c>
      <c r="J113" s="301">
        <v>1.4863</v>
      </c>
      <c r="K113" s="301">
        <v>3.2216</v>
      </c>
      <c r="L113" s="301">
        <v>4.4098</v>
      </c>
      <c r="M113" s="301">
        <v>0.3374</v>
      </c>
      <c r="N113" s="301">
        <v>3.3741</v>
      </c>
      <c r="O113" s="301">
        <v>0.1631</v>
      </c>
      <c r="P113" s="301">
        <v>0.5296</v>
      </c>
      <c r="R113" s="301">
        <v>2.3739</v>
      </c>
      <c r="S113" s="301">
        <v>0.5002</v>
      </c>
      <c r="U113" s="301">
        <v>0.4368</v>
      </c>
      <c r="V113" s="301">
        <v>0.5313</v>
      </c>
      <c r="W113" s="301">
        <v>0.9475</v>
      </c>
      <c r="X113" s="301">
        <v>2.0191</v>
      </c>
      <c r="Y113" s="301">
        <v>1.6978</v>
      </c>
      <c r="Z113" s="301">
        <v>1.1437</v>
      </c>
      <c r="AA113" s="301">
        <v>5.5698</v>
      </c>
      <c r="AB113" s="301">
        <v>0.0623</v>
      </c>
      <c r="AC113" s="301">
        <v>0.2286</v>
      </c>
      <c r="AD113" s="301">
        <v>0.3995</v>
      </c>
      <c r="AE113" s="301">
        <v>1.7043</v>
      </c>
      <c r="AF113" s="301">
        <v>0.8929</v>
      </c>
      <c r="AG113" s="301">
        <v>0.0972</v>
      </c>
      <c r="AH113" s="301">
        <v>3.1636</v>
      </c>
      <c r="AI113" s="301">
        <v>0.2494</v>
      </c>
      <c r="AJ113" s="301">
        <v>0.4161</v>
      </c>
      <c r="AK113" s="301">
        <v>4.3489</v>
      </c>
      <c r="AL113" s="302">
        <v>110</v>
      </c>
      <c r="AM113" t="s">
        <v>411</v>
      </c>
    </row>
    <row r="114" spans="1:39" ht="12.75">
      <c r="A114" s="441">
        <v>40703</v>
      </c>
      <c r="B114" s="301">
        <v>0.089</v>
      </c>
      <c r="C114" s="301">
        <v>2.704</v>
      </c>
      <c r="D114" s="301">
        <v>2.8597</v>
      </c>
      <c r="E114" s="301">
        <v>0.3475</v>
      </c>
      <c r="F114" s="301">
        <v>2.7625</v>
      </c>
      <c r="G114" s="301">
        <v>2.2247</v>
      </c>
      <c r="H114" s="301">
        <v>2.1972</v>
      </c>
      <c r="I114" s="301">
        <v>3.955</v>
      </c>
      <c r="J114" s="301">
        <v>1.4888</v>
      </c>
      <c r="K114" s="301">
        <v>3.2303</v>
      </c>
      <c r="L114" s="301">
        <v>4.4473</v>
      </c>
      <c r="M114" s="301">
        <v>0.3388</v>
      </c>
      <c r="N114" s="301">
        <v>3.3805</v>
      </c>
      <c r="O114" s="301">
        <v>0.1636</v>
      </c>
      <c r="P114" s="301">
        <v>0.5303</v>
      </c>
      <c r="R114" s="301">
        <v>2.3796</v>
      </c>
      <c r="S114" s="301">
        <v>0.502</v>
      </c>
      <c r="U114" s="301">
        <v>0.4371</v>
      </c>
      <c r="V114" s="301">
        <v>0.5333</v>
      </c>
      <c r="W114" s="301">
        <v>0.9475</v>
      </c>
      <c r="X114" s="301">
        <v>2.0222</v>
      </c>
      <c r="Y114" s="301">
        <v>1.7136</v>
      </c>
      <c r="Z114" s="301">
        <v>1.1454</v>
      </c>
      <c r="AA114" s="301">
        <v>5.5759</v>
      </c>
      <c r="AB114" s="301">
        <v>0.0625</v>
      </c>
      <c r="AC114" s="301">
        <v>0.2285</v>
      </c>
      <c r="AD114" s="301">
        <v>0.4018</v>
      </c>
      <c r="AE114" s="301">
        <v>1.7101</v>
      </c>
      <c r="AF114" s="301">
        <v>0.8949</v>
      </c>
      <c r="AG114" s="301">
        <v>0.0976</v>
      </c>
      <c r="AH114" s="301">
        <v>3.1737</v>
      </c>
      <c r="AI114" s="301">
        <v>0.2497</v>
      </c>
      <c r="AJ114" s="301">
        <v>0.4175</v>
      </c>
      <c r="AK114" s="301">
        <v>4.3641</v>
      </c>
      <c r="AL114" s="302">
        <v>111</v>
      </c>
      <c r="AM114" t="s">
        <v>411</v>
      </c>
    </row>
    <row r="115" spans="1:39" ht="12.75">
      <c r="A115" s="441">
        <v>40704</v>
      </c>
      <c r="B115" s="301">
        <v>0.0896</v>
      </c>
      <c r="C115" s="301">
        <v>2.7216</v>
      </c>
      <c r="D115" s="301">
        <v>2.8931</v>
      </c>
      <c r="E115" s="301">
        <v>0.3496</v>
      </c>
      <c r="F115" s="301">
        <v>2.7944</v>
      </c>
      <c r="G115" s="301">
        <v>2.2493</v>
      </c>
      <c r="H115" s="301">
        <v>2.2091</v>
      </c>
      <c r="I115" s="301">
        <v>3.9413</v>
      </c>
      <c r="J115" s="301">
        <v>1.4913</v>
      </c>
      <c r="K115" s="301">
        <v>3.2336</v>
      </c>
      <c r="L115" s="301">
        <v>4.4279</v>
      </c>
      <c r="M115" s="301">
        <v>0.3409</v>
      </c>
      <c r="N115" s="301">
        <v>3.3969</v>
      </c>
      <c r="O115" s="301">
        <v>0.1634</v>
      </c>
      <c r="P115" s="301">
        <v>0.5285</v>
      </c>
      <c r="R115" s="301">
        <v>2.3779</v>
      </c>
      <c r="S115" s="301">
        <v>0.5021</v>
      </c>
      <c r="U115" s="301">
        <v>0.4347</v>
      </c>
      <c r="V115" s="301">
        <v>0.533</v>
      </c>
      <c r="W115" s="301">
        <v>0.9483</v>
      </c>
      <c r="X115" s="301">
        <v>2.0152</v>
      </c>
      <c r="Y115" s="301">
        <v>1.7298</v>
      </c>
      <c r="Z115" s="301">
        <v>1.1415</v>
      </c>
      <c r="AA115" s="301">
        <v>5.5601</v>
      </c>
      <c r="AB115" s="301">
        <v>0.063</v>
      </c>
      <c r="AC115" s="301">
        <v>0.2308</v>
      </c>
      <c r="AD115" s="301">
        <v>0.4011</v>
      </c>
      <c r="AE115" s="301">
        <v>1.7188</v>
      </c>
      <c r="AF115" s="301">
        <v>0.9014</v>
      </c>
      <c r="AG115" s="301">
        <v>0.0978</v>
      </c>
      <c r="AH115" s="301">
        <v>3.1942</v>
      </c>
      <c r="AI115" s="301">
        <v>0.2513</v>
      </c>
      <c r="AJ115" s="301">
        <v>0.4198</v>
      </c>
      <c r="AK115" s="301">
        <v>4.3436</v>
      </c>
      <c r="AL115" s="302">
        <v>112</v>
      </c>
      <c r="AM115" t="s">
        <v>411</v>
      </c>
    </row>
    <row r="116" spans="1:39" ht="12.75">
      <c r="A116" s="441">
        <v>40707</v>
      </c>
      <c r="B116" s="301">
        <v>0.0901</v>
      </c>
      <c r="C116" s="301">
        <v>2.7426</v>
      </c>
      <c r="D116" s="301">
        <v>2.894</v>
      </c>
      <c r="E116" s="301">
        <v>0.3523</v>
      </c>
      <c r="F116" s="301">
        <v>2.8061</v>
      </c>
      <c r="G116" s="301">
        <v>2.2279</v>
      </c>
      <c r="H116" s="301">
        <v>2.2159</v>
      </c>
      <c r="I116" s="301">
        <v>3.9324</v>
      </c>
      <c r="J116" s="301">
        <v>1.4826</v>
      </c>
      <c r="K116" s="301">
        <v>3.2588</v>
      </c>
      <c r="L116" s="301">
        <v>4.459</v>
      </c>
      <c r="M116" s="301">
        <v>0.3395</v>
      </c>
      <c r="N116" s="301">
        <v>3.4119</v>
      </c>
      <c r="O116" s="301">
        <v>0.1631</v>
      </c>
      <c r="P116" s="301">
        <v>0.5272</v>
      </c>
      <c r="R116" s="301">
        <v>2.379</v>
      </c>
      <c r="S116" s="301">
        <v>0.4993</v>
      </c>
      <c r="U116" s="301">
        <v>0.4312</v>
      </c>
      <c r="V116" s="301">
        <v>0.5314</v>
      </c>
      <c r="W116" s="301">
        <v>0.9401</v>
      </c>
      <c r="X116" s="301">
        <v>2.0106</v>
      </c>
      <c r="Y116" s="301">
        <v>1.7466</v>
      </c>
      <c r="Z116" s="301">
        <v>1.1389</v>
      </c>
      <c r="AA116" s="301">
        <v>5.548</v>
      </c>
      <c r="AB116" s="301">
        <v>0.0633</v>
      </c>
      <c r="AC116" s="301">
        <v>0.2302</v>
      </c>
      <c r="AD116" s="301">
        <v>0.4044</v>
      </c>
      <c r="AE116" s="301">
        <v>1.7183</v>
      </c>
      <c r="AF116" s="301">
        <v>0.9018</v>
      </c>
      <c r="AG116" s="301">
        <v>0.0979</v>
      </c>
      <c r="AH116" s="301">
        <v>3.2144</v>
      </c>
      <c r="AI116" s="301">
        <v>0.2526</v>
      </c>
      <c r="AJ116" s="301">
        <v>0.4231</v>
      </c>
      <c r="AK116" s="301">
        <v>4.3529</v>
      </c>
      <c r="AL116" s="302">
        <v>113</v>
      </c>
      <c r="AM116" t="s">
        <v>411</v>
      </c>
    </row>
    <row r="117" spans="1:39" ht="12.75">
      <c r="A117" s="441">
        <v>40708</v>
      </c>
      <c r="B117" s="301">
        <v>0.0894</v>
      </c>
      <c r="C117" s="301">
        <v>2.7203</v>
      </c>
      <c r="D117" s="301">
        <v>2.8987</v>
      </c>
      <c r="E117" s="301">
        <v>0.3496</v>
      </c>
      <c r="F117" s="301">
        <v>2.7928</v>
      </c>
      <c r="G117" s="301">
        <v>2.2321</v>
      </c>
      <c r="H117" s="301">
        <v>2.2096</v>
      </c>
      <c r="I117" s="301">
        <v>3.9335</v>
      </c>
      <c r="J117" s="301">
        <v>1.486</v>
      </c>
      <c r="K117" s="301">
        <v>3.242</v>
      </c>
      <c r="L117" s="301">
        <v>4.46</v>
      </c>
      <c r="M117" s="301">
        <v>0.341</v>
      </c>
      <c r="N117" s="301">
        <v>3.392</v>
      </c>
      <c r="O117" s="301">
        <v>0.1631</v>
      </c>
      <c r="P117" s="301">
        <v>0.5274</v>
      </c>
      <c r="R117" s="301">
        <v>2.3724</v>
      </c>
      <c r="S117" s="301">
        <v>0.5037</v>
      </c>
      <c r="U117" s="301">
        <v>0.4323</v>
      </c>
      <c r="V117" s="301">
        <v>0.5317</v>
      </c>
      <c r="W117" s="301">
        <v>0.9426</v>
      </c>
      <c r="X117" s="301">
        <v>2.0112</v>
      </c>
      <c r="Y117" s="301">
        <v>1.7249</v>
      </c>
      <c r="Z117" s="301">
        <v>1.1392</v>
      </c>
      <c r="AA117" s="301">
        <v>5.5495</v>
      </c>
      <c r="AB117" s="301">
        <v>0.0628</v>
      </c>
      <c r="AC117" s="301">
        <v>0.2297</v>
      </c>
      <c r="AD117" s="301">
        <v>0.4021</v>
      </c>
      <c r="AE117" s="301">
        <v>1.719</v>
      </c>
      <c r="AF117" s="301">
        <v>0.8974</v>
      </c>
      <c r="AG117" s="301">
        <v>0.0976</v>
      </c>
      <c r="AH117" s="301">
        <v>3.1885</v>
      </c>
      <c r="AI117" s="301">
        <v>0.2514</v>
      </c>
      <c r="AJ117" s="301">
        <v>0.42</v>
      </c>
      <c r="AK117" s="301">
        <v>4.3819</v>
      </c>
      <c r="AL117" s="302">
        <v>114</v>
      </c>
      <c r="AM117" t="s">
        <v>411</v>
      </c>
    </row>
    <row r="118" spans="1:39" ht="12.75">
      <c r="A118" s="441">
        <v>40709</v>
      </c>
      <c r="B118" s="301">
        <v>0.0903</v>
      </c>
      <c r="C118" s="301">
        <v>2.7499</v>
      </c>
      <c r="D118" s="301">
        <v>2.9393</v>
      </c>
      <c r="E118" s="301">
        <v>0.3536</v>
      </c>
      <c r="F118" s="301">
        <v>2.8378</v>
      </c>
      <c r="G118" s="301">
        <v>2.2393</v>
      </c>
      <c r="H118" s="301">
        <v>2.228</v>
      </c>
      <c r="I118" s="301">
        <v>3.9433</v>
      </c>
      <c r="J118" s="301">
        <v>1.4869</v>
      </c>
      <c r="K118" s="301">
        <v>3.2366</v>
      </c>
      <c r="L118" s="301">
        <v>4.4831</v>
      </c>
      <c r="M118" s="301">
        <v>0.3444</v>
      </c>
      <c r="N118" s="301">
        <v>3.4063</v>
      </c>
      <c r="O118" s="301">
        <v>0.163</v>
      </c>
      <c r="P118" s="301">
        <v>0.5287</v>
      </c>
      <c r="R118" s="301">
        <v>2.3837</v>
      </c>
      <c r="S118" s="301">
        <v>0.5044</v>
      </c>
      <c r="U118" s="301">
        <v>0.4319</v>
      </c>
      <c r="V118" s="301">
        <v>0.5328</v>
      </c>
      <c r="W118" s="301">
        <v>0.9442</v>
      </c>
      <c r="X118" s="301">
        <v>2.0163</v>
      </c>
      <c r="Y118" s="301">
        <v>1.7254</v>
      </c>
      <c r="Z118" s="301">
        <v>1.142</v>
      </c>
      <c r="AA118" s="301">
        <v>5.5633</v>
      </c>
      <c r="AB118" s="301">
        <v>0.0632</v>
      </c>
      <c r="AC118" s="301">
        <v>0.2324</v>
      </c>
      <c r="AD118" s="301">
        <v>0.4033</v>
      </c>
      <c r="AE118" s="301">
        <v>1.7379</v>
      </c>
      <c r="AF118" s="301">
        <v>0.9071</v>
      </c>
      <c r="AG118" s="301">
        <v>0.0984</v>
      </c>
      <c r="AH118" s="301">
        <v>3.2179</v>
      </c>
      <c r="AI118" s="301">
        <v>0.254</v>
      </c>
      <c r="AJ118" s="301">
        <v>0.4245</v>
      </c>
      <c r="AK118" s="301">
        <v>4.3766</v>
      </c>
      <c r="AL118" s="302">
        <v>115</v>
      </c>
      <c r="AM118" t="s">
        <v>411</v>
      </c>
    </row>
    <row r="119" spans="1:39" ht="12.75">
      <c r="A119" s="441">
        <v>40710</v>
      </c>
      <c r="B119" s="301">
        <v>0.0918</v>
      </c>
      <c r="C119" s="301">
        <v>2.8069</v>
      </c>
      <c r="D119" s="301">
        <v>2.956</v>
      </c>
      <c r="E119" s="301">
        <v>0.3599</v>
      </c>
      <c r="F119" s="301">
        <v>2.8597</v>
      </c>
      <c r="G119" s="301">
        <v>2.2462</v>
      </c>
      <c r="H119" s="301">
        <v>2.2606</v>
      </c>
      <c r="I119" s="301">
        <v>3.9678</v>
      </c>
      <c r="J119" s="301">
        <v>1.4807</v>
      </c>
      <c r="K119" s="301">
        <v>3.2969</v>
      </c>
      <c r="L119" s="301">
        <v>4.53</v>
      </c>
      <c r="M119" s="301">
        <v>0.3513</v>
      </c>
      <c r="N119" s="301">
        <v>3.4795</v>
      </c>
      <c r="O119" s="301">
        <v>0.1632</v>
      </c>
      <c r="P119" s="301">
        <v>0.532</v>
      </c>
      <c r="R119" s="301">
        <v>2.4001</v>
      </c>
      <c r="S119" s="301">
        <v>0.5045</v>
      </c>
      <c r="U119" s="301">
        <v>0.4315</v>
      </c>
      <c r="V119" s="301">
        <v>0.5356</v>
      </c>
      <c r="W119" s="301">
        <v>0.9455</v>
      </c>
      <c r="X119" s="301">
        <v>2.0287</v>
      </c>
      <c r="Y119" s="301">
        <v>1.746</v>
      </c>
      <c r="Z119" s="301">
        <v>1.1491</v>
      </c>
      <c r="AA119" s="301">
        <v>5.5963</v>
      </c>
      <c r="AB119" s="301">
        <v>0.0643</v>
      </c>
      <c r="AC119" s="301">
        <v>0.2351</v>
      </c>
      <c r="AD119" s="301">
        <v>0.4096</v>
      </c>
      <c r="AE119" s="301">
        <v>1.7536</v>
      </c>
      <c r="AF119" s="301">
        <v>0.9218</v>
      </c>
      <c r="AG119" s="301">
        <v>0.0995</v>
      </c>
      <c r="AH119" s="301">
        <v>3.2668</v>
      </c>
      <c r="AI119" s="301">
        <v>0.2576</v>
      </c>
      <c r="AJ119" s="301">
        <v>0.4334</v>
      </c>
      <c r="AK119" s="301">
        <v>4.4283</v>
      </c>
      <c r="AL119" s="302">
        <v>116</v>
      </c>
      <c r="AM119" t="s">
        <v>411</v>
      </c>
    </row>
    <row r="120" spans="1:39" ht="12.75">
      <c r="A120" s="441">
        <v>40711</v>
      </c>
      <c r="B120" s="301">
        <v>0.0917</v>
      </c>
      <c r="C120" s="301">
        <v>2.8077</v>
      </c>
      <c r="D120" s="301">
        <v>2.9526</v>
      </c>
      <c r="E120" s="301">
        <v>0.3601</v>
      </c>
      <c r="F120" s="301">
        <v>2.8478</v>
      </c>
      <c r="G120" s="301">
        <v>2.2541</v>
      </c>
      <c r="H120" s="301">
        <v>2.2676</v>
      </c>
      <c r="I120" s="301">
        <v>3.9788</v>
      </c>
      <c r="J120" s="301">
        <v>1.4819</v>
      </c>
      <c r="K120" s="301">
        <v>3.3081</v>
      </c>
      <c r="L120" s="301">
        <v>4.5278</v>
      </c>
      <c r="M120" s="301">
        <v>0.3521</v>
      </c>
      <c r="N120" s="301">
        <v>3.4912</v>
      </c>
      <c r="O120" s="301">
        <v>0.1646</v>
      </c>
      <c r="P120" s="301">
        <v>0.5334</v>
      </c>
      <c r="R120" s="301">
        <v>2.4136</v>
      </c>
      <c r="S120" s="301">
        <v>0.5047</v>
      </c>
      <c r="U120" s="301">
        <v>0.4325</v>
      </c>
      <c r="V120" s="301">
        <v>0.5373</v>
      </c>
      <c r="W120" s="301">
        <v>0.9402</v>
      </c>
      <c r="X120" s="301">
        <v>2.0344</v>
      </c>
      <c r="Y120" s="301">
        <v>1.7432</v>
      </c>
      <c r="Z120" s="301">
        <v>1.1523</v>
      </c>
      <c r="AA120" s="301">
        <v>5.6126</v>
      </c>
      <c r="AB120" s="301">
        <v>0.0642</v>
      </c>
      <c r="AC120" s="301">
        <v>0.2345</v>
      </c>
      <c r="AD120" s="301">
        <v>0.4093</v>
      </c>
      <c r="AE120" s="301">
        <v>1.7523</v>
      </c>
      <c r="AF120" s="301">
        <v>0.9223</v>
      </c>
      <c r="AG120" s="301">
        <v>0.0996</v>
      </c>
      <c r="AH120" s="301">
        <v>3.2628</v>
      </c>
      <c r="AI120" s="301">
        <v>0.2586</v>
      </c>
      <c r="AJ120" s="301">
        <v>0.434</v>
      </c>
      <c r="AK120" s="301">
        <v>4.4791</v>
      </c>
      <c r="AL120" s="302">
        <v>117</v>
      </c>
      <c r="AM120" t="s">
        <v>411</v>
      </c>
    </row>
    <row r="121" spans="1:39" ht="12.75">
      <c r="A121" s="441">
        <v>40714</v>
      </c>
      <c r="B121" s="301">
        <v>0.0918</v>
      </c>
      <c r="C121" s="301">
        <v>2.8058</v>
      </c>
      <c r="D121" s="301">
        <v>2.9513</v>
      </c>
      <c r="E121" s="301">
        <v>0.36</v>
      </c>
      <c r="F121" s="301">
        <v>2.8532</v>
      </c>
      <c r="G121" s="301">
        <v>2.2611</v>
      </c>
      <c r="H121" s="301">
        <v>2.2654</v>
      </c>
      <c r="I121" s="301">
        <v>3.993</v>
      </c>
      <c r="J121" s="301">
        <v>1.4832</v>
      </c>
      <c r="K121" s="301">
        <v>3.3149</v>
      </c>
      <c r="L121" s="301">
        <v>4.5329</v>
      </c>
      <c r="M121" s="301">
        <v>0.351</v>
      </c>
      <c r="N121" s="301">
        <v>3.4973</v>
      </c>
      <c r="O121" s="301">
        <v>0.1655</v>
      </c>
      <c r="P121" s="301">
        <v>0.5353</v>
      </c>
      <c r="R121" s="301">
        <v>2.4193</v>
      </c>
      <c r="S121" s="301">
        <v>0.5043</v>
      </c>
      <c r="U121" s="301">
        <v>0.4349</v>
      </c>
      <c r="V121" s="301">
        <v>0.5405</v>
      </c>
      <c r="W121" s="301">
        <v>0.936</v>
      </c>
      <c r="X121" s="301">
        <v>2.0416</v>
      </c>
      <c r="Y121" s="301">
        <v>1.741</v>
      </c>
      <c r="Z121" s="301">
        <v>1.1564</v>
      </c>
      <c r="AA121" s="301">
        <v>5.6319</v>
      </c>
      <c r="AB121" s="301">
        <v>0.0641</v>
      </c>
      <c r="AC121" s="301">
        <v>0.235</v>
      </c>
      <c r="AD121" s="301">
        <v>0.4117</v>
      </c>
      <c r="AE121" s="301">
        <v>1.7564</v>
      </c>
      <c r="AF121" s="301">
        <v>0.9221</v>
      </c>
      <c r="AG121" s="301">
        <v>0.0996</v>
      </c>
      <c r="AH121" s="301">
        <v>3.2576</v>
      </c>
      <c r="AI121" s="301">
        <v>0.2585</v>
      </c>
      <c r="AJ121" s="301">
        <v>0.4335</v>
      </c>
      <c r="AK121" s="301">
        <v>4.4624</v>
      </c>
      <c r="AL121" s="302">
        <v>118</v>
      </c>
      <c r="AM121" t="s">
        <v>411</v>
      </c>
    </row>
    <row r="122" spans="1:39" ht="12.75">
      <c r="A122" s="441">
        <v>40715</v>
      </c>
      <c r="B122" s="301">
        <v>0.0911</v>
      </c>
      <c r="C122" s="301">
        <v>2.7776</v>
      </c>
      <c r="D122" s="301">
        <v>2.9368</v>
      </c>
      <c r="E122" s="301">
        <v>0.3569</v>
      </c>
      <c r="F122" s="301">
        <v>2.8425</v>
      </c>
      <c r="G122" s="301">
        <v>2.2571</v>
      </c>
      <c r="H122" s="301">
        <v>2.2503</v>
      </c>
      <c r="I122" s="301">
        <v>3.9848</v>
      </c>
      <c r="J122" s="301">
        <v>1.4919</v>
      </c>
      <c r="K122" s="301">
        <v>3.2908</v>
      </c>
      <c r="L122" s="301">
        <v>4.4983</v>
      </c>
      <c r="M122" s="301">
        <v>0.3469</v>
      </c>
      <c r="N122" s="301">
        <v>3.4658</v>
      </c>
      <c r="O122" s="301">
        <v>0.1653</v>
      </c>
      <c r="P122" s="301">
        <v>0.5342</v>
      </c>
      <c r="R122" s="301">
        <v>2.4114</v>
      </c>
      <c r="S122" s="301">
        <v>0.5026</v>
      </c>
      <c r="U122" s="301">
        <v>0.4345</v>
      </c>
      <c r="V122" s="301">
        <v>0.5397</v>
      </c>
      <c r="W122" s="301">
        <v>0.9396</v>
      </c>
      <c r="X122" s="301">
        <v>2.0374</v>
      </c>
      <c r="Y122" s="301">
        <v>1.7344</v>
      </c>
      <c r="Z122" s="301">
        <v>1.154</v>
      </c>
      <c r="AA122" s="301">
        <v>5.6203</v>
      </c>
      <c r="AB122" s="301">
        <v>0.064</v>
      </c>
      <c r="AC122" s="301">
        <v>0.2347</v>
      </c>
      <c r="AD122" s="301">
        <v>0.4108</v>
      </c>
      <c r="AE122" s="301">
        <v>1.7401</v>
      </c>
      <c r="AF122" s="301">
        <v>0.9182</v>
      </c>
      <c r="AG122" s="301">
        <v>0.0992</v>
      </c>
      <c r="AH122" s="301">
        <v>3.2321</v>
      </c>
      <c r="AI122" s="301">
        <v>0.2578</v>
      </c>
      <c r="AJ122" s="301">
        <v>0.4297</v>
      </c>
      <c r="AK122" s="301">
        <v>4.4569</v>
      </c>
      <c r="AL122" s="302">
        <v>119</v>
      </c>
      <c r="AM122" t="s">
        <v>411</v>
      </c>
    </row>
    <row r="123" spans="1:39" ht="12.75">
      <c r="A123" s="441">
        <v>40716</v>
      </c>
      <c r="B123" s="301">
        <v>0.0909</v>
      </c>
      <c r="C123" s="301">
        <v>2.7661</v>
      </c>
      <c r="D123" s="301">
        <v>2.9349</v>
      </c>
      <c r="E123" s="301">
        <v>0.3552</v>
      </c>
      <c r="F123" s="301">
        <v>2.8451</v>
      </c>
      <c r="G123" s="301">
        <v>2.2571</v>
      </c>
      <c r="H123" s="301">
        <v>2.2478</v>
      </c>
      <c r="I123" s="301">
        <v>3.9846</v>
      </c>
      <c r="J123" s="301">
        <v>1.4918</v>
      </c>
      <c r="K123" s="301">
        <v>3.2883</v>
      </c>
      <c r="L123" s="301">
        <v>4.4705</v>
      </c>
      <c r="M123" s="301">
        <v>0.3459</v>
      </c>
      <c r="N123" s="301">
        <v>3.45</v>
      </c>
      <c r="O123" s="301">
        <v>0.1643</v>
      </c>
      <c r="P123" s="301">
        <v>0.5342</v>
      </c>
      <c r="R123" s="301">
        <v>2.4105</v>
      </c>
      <c r="S123" s="301">
        <v>0.505</v>
      </c>
      <c r="U123" s="301">
        <v>0.4351</v>
      </c>
      <c r="V123" s="301">
        <v>0.5398</v>
      </c>
      <c r="W123" s="301">
        <v>0.9389</v>
      </c>
      <c r="X123" s="301">
        <v>2.0373</v>
      </c>
      <c r="Y123" s="301">
        <v>1.7168</v>
      </c>
      <c r="Z123" s="301">
        <v>1.154</v>
      </c>
      <c r="AA123" s="301">
        <v>5.6177</v>
      </c>
      <c r="AB123" s="301">
        <v>0.0636</v>
      </c>
      <c r="AC123" s="301">
        <v>0.2346</v>
      </c>
      <c r="AD123" s="301">
        <v>0.4101</v>
      </c>
      <c r="AE123" s="301">
        <v>1.7437</v>
      </c>
      <c r="AF123" s="301">
        <v>0.916</v>
      </c>
      <c r="AG123" s="301">
        <v>0.0991</v>
      </c>
      <c r="AH123" s="301">
        <v>3.2212</v>
      </c>
      <c r="AI123" s="301">
        <v>0.2576</v>
      </c>
      <c r="AJ123" s="301">
        <v>0.428</v>
      </c>
      <c r="AK123" s="301">
        <v>4.4309</v>
      </c>
      <c r="AL123" s="302">
        <v>120</v>
      </c>
      <c r="AM123" t="s">
        <v>411</v>
      </c>
    </row>
    <row r="124" spans="1:39" ht="12.75">
      <c r="A124" s="441">
        <v>40718</v>
      </c>
      <c r="B124" s="301">
        <v>0.0912</v>
      </c>
      <c r="C124" s="301">
        <v>2.7914</v>
      </c>
      <c r="D124" s="301">
        <v>2.9567</v>
      </c>
      <c r="E124" s="301">
        <v>0.3584</v>
      </c>
      <c r="F124" s="301">
        <v>2.8557</v>
      </c>
      <c r="G124" s="301">
        <v>2.2797</v>
      </c>
      <c r="H124" s="301">
        <v>2.261</v>
      </c>
      <c r="I124" s="301">
        <v>3.9905</v>
      </c>
      <c r="J124" s="301">
        <v>1.4867</v>
      </c>
      <c r="K124" s="301">
        <v>3.3375</v>
      </c>
      <c r="L124" s="301">
        <v>4.4706</v>
      </c>
      <c r="M124" s="301">
        <v>0.3492</v>
      </c>
      <c r="N124" s="301">
        <v>3.4789</v>
      </c>
      <c r="O124" s="301">
        <v>0.1638</v>
      </c>
      <c r="P124" s="301">
        <v>0.535</v>
      </c>
      <c r="R124" s="301">
        <v>2.4134</v>
      </c>
      <c r="S124" s="301">
        <v>0.5129</v>
      </c>
      <c r="U124" s="301">
        <v>0.4351</v>
      </c>
      <c r="V124" s="301">
        <v>0.5406</v>
      </c>
      <c r="W124" s="301">
        <v>0.9466</v>
      </c>
      <c r="X124" s="301">
        <v>2.0403</v>
      </c>
      <c r="Y124" s="301">
        <v>1.713</v>
      </c>
      <c r="Z124" s="301">
        <v>1.1557</v>
      </c>
      <c r="AA124" s="301">
        <v>5.626</v>
      </c>
      <c r="AB124" s="301">
        <v>0.0642</v>
      </c>
      <c r="AC124" s="301">
        <v>0.2356</v>
      </c>
      <c r="AD124" s="301">
        <v>0.4066</v>
      </c>
      <c r="AE124" s="301">
        <v>1.7526</v>
      </c>
      <c r="AF124" s="301">
        <v>0.9172</v>
      </c>
      <c r="AG124" s="301">
        <v>0.0993</v>
      </c>
      <c r="AH124" s="301">
        <v>3.2465</v>
      </c>
      <c r="AI124" s="301">
        <v>0.2585</v>
      </c>
      <c r="AJ124" s="301">
        <v>0.4308</v>
      </c>
      <c r="AK124" s="301">
        <v>4.462</v>
      </c>
      <c r="AL124" s="302">
        <v>121</v>
      </c>
      <c r="AM124" t="s">
        <v>411</v>
      </c>
    </row>
    <row r="125" spans="1:39" ht="12.75">
      <c r="A125" s="441">
        <v>40721</v>
      </c>
      <c r="B125" s="301">
        <v>0.0913</v>
      </c>
      <c r="C125" s="301">
        <v>2.8201</v>
      </c>
      <c r="D125" s="301">
        <v>2.9445</v>
      </c>
      <c r="E125" s="301">
        <v>0.3621</v>
      </c>
      <c r="F125" s="301">
        <v>2.8529</v>
      </c>
      <c r="G125" s="301">
        <v>2.2662</v>
      </c>
      <c r="H125" s="301">
        <v>2.2719</v>
      </c>
      <c r="I125" s="301">
        <v>4.0012</v>
      </c>
      <c r="J125" s="301">
        <v>1.4872</v>
      </c>
      <c r="K125" s="301">
        <v>3.3693</v>
      </c>
      <c r="L125" s="301">
        <v>4.5005</v>
      </c>
      <c r="M125" s="301">
        <v>0.3505</v>
      </c>
      <c r="N125" s="301">
        <v>3.4919</v>
      </c>
      <c r="O125" s="301">
        <v>0.1637</v>
      </c>
      <c r="P125" s="301">
        <v>0.5364</v>
      </c>
      <c r="R125" s="301">
        <v>2.4228</v>
      </c>
      <c r="S125" s="301">
        <v>0.5119</v>
      </c>
      <c r="U125" s="301">
        <v>0.4342</v>
      </c>
      <c r="V125" s="301">
        <v>0.5421</v>
      </c>
      <c r="W125" s="301">
        <v>0.9486</v>
      </c>
      <c r="X125" s="301">
        <v>2.0458</v>
      </c>
      <c r="Y125" s="301">
        <v>1.7159</v>
      </c>
      <c r="Z125" s="301">
        <v>1.1588</v>
      </c>
      <c r="AA125" s="301">
        <v>5.6411</v>
      </c>
      <c r="AB125" s="301">
        <v>0.0647</v>
      </c>
      <c r="AC125" s="301">
        <v>0.2368</v>
      </c>
      <c r="AD125" s="301">
        <v>0.4076</v>
      </c>
      <c r="AE125" s="301">
        <v>1.7579</v>
      </c>
      <c r="AF125" s="301">
        <v>0.9219</v>
      </c>
      <c r="AG125" s="301">
        <v>0.0994</v>
      </c>
      <c r="AH125" s="301">
        <v>3.2723</v>
      </c>
      <c r="AI125" s="301">
        <v>0.2598</v>
      </c>
      <c r="AJ125" s="301">
        <v>0.4353</v>
      </c>
      <c r="AK125" s="301">
        <v>4.4724</v>
      </c>
      <c r="AL125" s="302">
        <v>122</v>
      </c>
      <c r="AM125" t="s">
        <v>411</v>
      </c>
    </row>
    <row r="126" spans="1:39" ht="12.75">
      <c r="A126" s="441">
        <v>40722</v>
      </c>
      <c r="B126" s="301">
        <v>0.0906</v>
      </c>
      <c r="C126" s="301">
        <v>2.8055</v>
      </c>
      <c r="D126" s="301">
        <v>2.9348</v>
      </c>
      <c r="E126" s="301">
        <v>0.3603</v>
      </c>
      <c r="F126" s="301">
        <v>2.8402</v>
      </c>
      <c r="G126" s="301">
        <v>2.2591</v>
      </c>
      <c r="H126" s="301">
        <v>2.2591</v>
      </c>
      <c r="I126" s="301">
        <v>4.0067</v>
      </c>
      <c r="J126" s="301">
        <v>1.4921</v>
      </c>
      <c r="K126" s="301">
        <v>3.364</v>
      </c>
      <c r="L126" s="301">
        <v>4.4735</v>
      </c>
      <c r="M126" s="301">
        <v>0.3509</v>
      </c>
      <c r="N126" s="301">
        <v>3.4717</v>
      </c>
      <c r="O126" s="301">
        <v>0.1642</v>
      </c>
      <c r="P126" s="301">
        <v>0.5372</v>
      </c>
      <c r="R126" s="301">
        <v>2.421</v>
      </c>
      <c r="S126" s="301">
        <v>0.513</v>
      </c>
      <c r="U126" s="301">
        <v>0.4324</v>
      </c>
      <c r="V126" s="301">
        <v>0.543</v>
      </c>
      <c r="W126" s="301">
        <v>0.9513</v>
      </c>
      <c r="X126" s="301">
        <v>2.0487</v>
      </c>
      <c r="Y126" s="301">
        <v>1.7119</v>
      </c>
      <c r="Z126" s="301">
        <v>1.1604</v>
      </c>
      <c r="AA126" s="301">
        <v>5.6496</v>
      </c>
      <c r="AB126" s="301">
        <v>0.0644</v>
      </c>
      <c r="AC126" s="301">
        <v>0.2357</v>
      </c>
      <c r="AD126" s="301">
        <v>0.4087</v>
      </c>
      <c r="AE126" s="301">
        <v>1.7602</v>
      </c>
      <c r="AF126" s="301">
        <v>0.9208</v>
      </c>
      <c r="AG126" s="301">
        <v>0.0994</v>
      </c>
      <c r="AH126" s="301">
        <v>3.2566</v>
      </c>
      <c r="AI126" s="301">
        <v>0.259</v>
      </c>
      <c r="AJ126" s="301">
        <v>0.4337</v>
      </c>
      <c r="AK126" s="301">
        <v>4.4809</v>
      </c>
      <c r="AL126" s="302">
        <v>123</v>
      </c>
      <c r="AM126" t="s">
        <v>411</v>
      </c>
    </row>
    <row r="127" spans="1:39" ht="12.75">
      <c r="A127" s="441">
        <v>40723</v>
      </c>
      <c r="B127" s="301">
        <v>0.0905</v>
      </c>
      <c r="C127" s="301">
        <v>2.7877</v>
      </c>
      <c r="D127" s="301">
        <v>2.9522</v>
      </c>
      <c r="E127" s="301">
        <v>0.3583</v>
      </c>
      <c r="F127" s="301">
        <v>2.8477</v>
      </c>
      <c r="G127" s="301">
        <v>2.2828</v>
      </c>
      <c r="H127" s="301">
        <v>2.2566</v>
      </c>
      <c r="I127" s="301">
        <v>4.0095</v>
      </c>
      <c r="J127" s="301">
        <v>1.4957</v>
      </c>
      <c r="K127" s="301">
        <v>3.352</v>
      </c>
      <c r="L127" s="301">
        <v>4.4632</v>
      </c>
      <c r="M127" s="301">
        <v>0.3487</v>
      </c>
      <c r="N127" s="301">
        <v>3.4347</v>
      </c>
      <c r="O127" s="301">
        <v>0.1644</v>
      </c>
      <c r="P127" s="301">
        <v>0.5376</v>
      </c>
      <c r="R127" s="301">
        <v>2.4194</v>
      </c>
      <c r="S127" s="301">
        <v>0.5146</v>
      </c>
      <c r="U127" s="301">
        <v>0.4356</v>
      </c>
      <c r="V127" s="301">
        <v>0.5432</v>
      </c>
      <c r="W127" s="301">
        <v>0.9512</v>
      </c>
      <c r="X127" s="301">
        <v>2.0501</v>
      </c>
      <c r="Y127" s="301">
        <v>1.6968</v>
      </c>
      <c r="Z127" s="301">
        <v>1.1612</v>
      </c>
      <c r="AA127" s="301">
        <v>5.6528</v>
      </c>
      <c r="AB127" s="301">
        <v>0.0641</v>
      </c>
      <c r="AC127" s="301">
        <v>0.2362</v>
      </c>
      <c r="AD127" s="301">
        <v>0.4078</v>
      </c>
      <c r="AE127" s="301">
        <v>1.7689</v>
      </c>
      <c r="AF127" s="301">
        <v>0.9193</v>
      </c>
      <c r="AG127" s="301">
        <v>0.0995</v>
      </c>
      <c r="AH127" s="301">
        <v>3.2356</v>
      </c>
      <c r="AI127" s="301">
        <v>0.2589</v>
      </c>
      <c r="AJ127" s="301">
        <v>0.4314</v>
      </c>
      <c r="AK127" s="301">
        <v>4.4712</v>
      </c>
      <c r="AL127" s="302">
        <v>124</v>
      </c>
      <c r="AM127" t="s">
        <v>411</v>
      </c>
    </row>
    <row r="128" spans="1:39" ht="12.75">
      <c r="A128" s="441">
        <v>40724</v>
      </c>
      <c r="B128" s="301">
        <v>0.0896</v>
      </c>
      <c r="C128" s="301">
        <v>2.7517</v>
      </c>
      <c r="D128" s="301">
        <v>2.9537</v>
      </c>
      <c r="E128" s="301">
        <v>0.3536</v>
      </c>
      <c r="F128" s="301">
        <v>2.8495</v>
      </c>
      <c r="G128" s="301">
        <v>2.2805</v>
      </c>
      <c r="H128" s="301">
        <v>2.2399</v>
      </c>
      <c r="I128" s="301">
        <v>3.9866</v>
      </c>
      <c r="J128" s="301">
        <v>1.501</v>
      </c>
      <c r="K128" s="301">
        <v>3.3004</v>
      </c>
      <c r="L128" s="301">
        <v>4.4102</v>
      </c>
      <c r="M128" s="301">
        <v>0.3444</v>
      </c>
      <c r="N128" s="301">
        <v>3.4237</v>
      </c>
      <c r="O128" s="301">
        <v>0.1641</v>
      </c>
      <c r="P128" s="301">
        <v>0.5345</v>
      </c>
      <c r="R128" s="301">
        <v>2.4056</v>
      </c>
      <c r="S128" s="301">
        <v>0.5128</v>
      </c>
      <c r="U128" s="301">
        <v>0.4349</v>
      </c>
      <c r="V128" s="301">
        <v>0.54</v>
      </c>
      <c r="W128" s="301">
        <v>0.9425</v>
      </c>
      <c r="X128" s="301">
        <v>2.0384</v>
      </c>
      <c r="Y128" s="301">
        <v>1.6946</v>
      </c>
      <c r="Z128" s="301">
        <v>1.1546</v>
      </c>
      <c r="AA128" s="301">
        <v>5.6205</v>
      </c>
      <c r="AB128" s="301">
        <v>0.0635</v>
      </c>
      <c r="AC128" s="301">
        <v>0.2344</v>
      </c>
      <c r="AD128" s="301">
        <v>0.4058</v>
      </c>
      <c r="AE128" s="301">
        <v>1.7561</v>
      </c>
      <c r="AF128" s="301">
        <v>0.9115</v>
      </c>
      <c r="AG128" s="301">
        <v>0.0987</v>
      </c>
      <c r="AH128" s="301">
        <v>3.2097</v>
      </c>
      <c r="AI128" s="301">
        <v>0.2578</v>
      </c>
      <c r="AJ128" s="301">
        <v>0.4259</v>
      </c>
      <c r="AK128" s="301">
        <v>4.4144</v>
      </c>
      <c r="AL128" s="302">
        <v>125</v>
      </c>
      <c r="AM128" t="s">
        <v>411</v>
      </c>
    </row>
    <row r="129" spans="1:39" ht="12.75">
      <c r="A129" s="441">
        <v>40725</v>
      </c>
      <c r="B129" s="301">
        <v>0.0887</v>
      </c>
      <c r="C129" s="301">
        <v>2.7273</v>
      </c>
      <c r="D129" s="301">
        <v>2.9248</v>
      </c>
      <c r="E129" s="301">
        <v>0.3505</v>
      </c>
      <c r="F129" s="301">
        <v>2.8345</v>
      </c>
      <c r="G129" s="301">
        <v>2.2577</v>
      </c>
      <c r="H129" s="301">
        <v>2.2251</v>
      </c>
      <c r="I129" s="301">
        <v>3.9626</v>
      </c>
      <c r="J129" s="301">
        <v>1.4987</v>
      </c>
      <c r="K129" s="301">
        <v>3.2231</v>
      </c>
      <c r="L129" s="301">
        <v>4.3679</v>
      </c>
      <c r="M129" s="301">
        <v>0.3416</v>
      </c>
      <c r="N129" s="301">
        <v>3.3806</v>
      </c>
      <c r="O129" s="301">
        <v>0.1629</v>
      </c>
      <c r="P129" s="301">
        <v>0.5313</v>
      </c>
      <c r="R129" s="301">
        <v>2.3886</v>
      </c>
      <c r="S129" s="301">
        <v>0.5074</v>
      </c>
      <c r="U129" s="301">
        <v>0.4331</v>
      </c>
      <c r="V129" s="301">
        <v>0.5357</v>
      </c>
      <c r="W129" s="301">
        <v>0.9349</v>
      </c>
      <c r="X129" s="301">
        <v>2.0261</v>
      </c>
      <c r="Y129" s="301">
        <v>1.6879</v>
      </c>
      <c r="Z129" s="301">
        <v>1.1476</v>
      </c>
      <c r="AA129" s="301">
        <v>5.5866</v>
      </c>
      <c r="AB129" s="301">
        <v>0.0632</v>
      </c>
      <c r="AC129" s="301">
        <v>0.2332</v>
      </c>
      <c r="AD129" s="301">
        <v>0.4033</v>
      </c>
      <c r="AE129" s="301">
        <v>1.7462</v>
      </c>
      <c r="AF129" s="301">
        <v>0.907</v>
      </c>
      <c r="AG129" s="301">
        <v>0.0979</v>
      </c>
      <c r="AH129" s="301">
        <v>3.192</v>
      </c>
      <c r="AI129" s="301">
        <v>0.2558</v>
      </c>
      <c r="AJ129" s="301">
        <v>0.4219</v>
      </c>
      <c r="AK129" s="301">
        <v>4.388</v>
      </c>
      <c r="AL129" s="302">
        <v>126</v>
      </c>
      <c r="AM129" t="s">
        <v>411</v>
      </c>
    </row>
    <row r="130" spans="1:39" ht="12.75">
      <c r="A130" s="441">
        <v>40728</v>
      </c>
      <c r="B130" s="301">
        <v>0.0892</v>
      </c>
      <c r="C130" s="301">
        <v>2.7156</v>
      </c>
      <c r="D130" s="301">
        <v>2.9208</v>
      </c>
      <c r="E130" s="301">
        <v>0.349</v>
      </c>
      <c r="F130" s="301">
        <v>2.8289</v>
      </c>
      <c r="G130" s="301">
        <v>2.2537</v>
      </c>
      <c r="H130" s="301">
        <v>2.2166</v>
      </c>
      <c r="I130" s="301">
        <v>3.9463</v>
      </c>
      <c r="J130" s="301">
        <v>1.4937</v>
      </c>
      <c r="K130" s="301">
        <v>3.2002</v>
      </c>
      <c r="L130" s="301">
        <v>4.3797</v>
      </c>
      <c r="M130" s="301">
        <v>0.34</v>
      </c>
      <c r="N130" s="301">
        <v>3.3705</v>
      </c>
      <c r="O130" s="301">
        <v>0.1629</v>
      </c>
      <c r="P130" s="301">
        <v>0.529</v>
      </c>
      <c r="R130" s="301">
        <v>2.3809</v>
      </c>
      <c r="S130" s="301">
        <v>0.5071</v>
      </c>
      <c r="U130" s="301">
        <v>0.4337</v>
      </c>
      <c r="V130" s="301">
        <v>0.5338</v>
      </c>
      <c r="W130" s="301">
        <v>0.9356</v>
      </c>
      <c r="X130" s="301">
        <v>2.0178</v>
      </c>
      <c r="Y130" s="301">
        <v>1.6829</v>
      </c>
      <c r="Z130" s="301">
        <v>1.1429</v>
      </c>
      <c r="AA130" s="301">
        <v>5.5644</v>
      </c>
      <c r="AB130" s="301">
        <v>0.0631</v>
      </c>
      <c r="AC130" s="301">
        <v>0.2341</v>
      </c>
      <c r="AD130" s="301">
        <v>0.4045</v>
      </c>
      <c r="AE130" s="301">
        <v>1.7438</v>
      </c>
      <c r="AF130" s="301">
        <v>0.9044</v>
      </c>
      <c r="AG130" s="301">
        <v>0.0977</v>
      </c>
      <c r="AH130" s="301">
        <v>3.1863</v>
      </c>
      <c r="AI130" s="301">
        <v>0.2554</v>
      </c>
      <c r="AJ130" s="301">
        <v>0.4202</v>
      </c>
      <c r="AK130" s="301">
        <v>4.3593</v>
      </c>
      <c r="AL130" s="302">
        <v>127</v>
      </c>
      <c r="AM130" t="s">
        <v>411</v>
      </c>
    </row>
    <row r="131" spans="1:39" ht="12.75">
      <c r="A131" s="441">
        <v>40729</v>
      </c>
      <c r="B131" s="301">
        <v>0.0896</v>
      </c>
      <c r="C131" s="301">
        <v>2.7266</v>
      </c>
      <c r="D131" s="301">
        <v>2.9197</v>
      </c>
      <c r="E131" s="301">
        <v>0.3506</v>
      </c>
      <c r="F131" s="301">
        <v>2.8349</v>
      </c>
      <c r="G131" s="301">
        <v>2.2605</v>
      </c>
      <c r="H131" s="301">
        <v>2.2227</v>
      </c>
      <c r="I131" s="301">
        <v>3.9487</v>
      </c>
      <c r="J131" s="301">
        <v>1.4918</v>
      </c>
      <c r="K131" s="301">
        <v>3.2288</v>
      </c>
      <c r="L131" s="301">
        <v>4.3818</v>
      </c>
      <c r="M131" s="301">
        <v>0.3413</v>
      </c>
      <c r="N131" s="301">
        <v>3.3627</v>
      </c>
      <c r="O131" s="301">
        <v>0.1626</v>
      </c>
      <c r="P131" s="301">
        <v>0.5294</v>
      </c>
      <c r="R131" s="301">
        <v>2.3823</v>
      </c>
      <c r="S131" s="301">
        <v>0.5092</v>
      </c>
      <c r="U131" s="301">
        <v>0.4353</v>
      </c>
      <c r="V131" s="301">
        <v>0.5339</v>
      </c>
      <c r="W131" s="301">
        <v>0.9456</v>
      </c>
      <c r="X131" s="301">
        <v>2.019</v>
      </c>
      <c r="Y131" s="301">
        <v>1.6774</v>
      </c>
      <c r="Z131" s="301">
        <v>1.1436</v>
      </c>
      <c r="AA131" s="301">
        <v>5.567</v>
      </c>
      <c r="AB131" s="301">
        <v>0.0633</v>
      </c>
      <c r="AC131" s="301">
        <v>0.2351</v>
      </c>
      <c r="AD131" s="301">
        <v>0.4037</v>
      </c>
      <c r="AE131" s="301">
        <v>1.756</v>
      </c>
      <c r="AF131" s="301">
        <v>0.9066</v>
      </c>
      <c r="AG131" s="301">
        <v>0.0978</v>
      </c>
      <c r="AH131" s="301">
        <v>3.1938</v>
      </c>
      <c r="AI131" s="301">
        <v>0.2557</v>
      </c>
      <c r="AJ131" s="301">
        <v>0.4217</v>
      </c>
      <c r="AK131" s="301">
        <v>4.3619</v>
      </c>
      <c r="AL131" s="302">
        <v>128</v>
      </c>
      <c r="AM131" t="s">
        <v>411</v>
      </c>
    </row>
    <row r="132" spans="1:39" ht="12.75">
      <c r="A132" s="441">
        <v>40730</v>
      </c>
      <c r="B132" s="301">
        <v>0.0904</v>
      </c>
      <c r="C132" s="301">
        <v>2.7531</v>
      </c>
      <c r="D132" s="301">
        <v>2.9437</v>
      </c>
      <c r="E132" s="301">
        <v>0.3537</v>
      </c>
      <c r="F132" s="301">
        <v>2.8538</v>
      </c>
      <c r="G132" s="301">
        <v>2.275</v>
      </c>
      <c r="H132" s="301">
        <v>2.2417</v>
      </c>
      <c r="I132" s="301">
        <v>3.9531</v>
      </c>
      <c r="J132" s="301">
        <v>1.4912</v>
      </c>
      <c r="K132" s="301">
        <v>3.2635</v>
      </c>
      <c r="L132" s="301">
        <v>4.4063</v>
      </c>
      <c r="M132" s="301">
        <v>0.3448</v>
      </c>
      <c r="N132" s="301">
        <v>3.4001</v>
      </c>
      <c r="O132" s="301">
        <v>0.1629</v>
      </c>
      <c r="P132" s="301">
        <v>0.53</v>
      </c>
      <c r="R132" s="301">
        <v>2.3921</v>
      </c>
      <c r="S132" s="301">
        <v>0.5087</v>
      </c>
      <c r="U132" s="301">
        <v>0.4342</v>
      </c>
      <c r="V132" s="301">
        <v>0.5342</v>
      </c>
      <c r="W132" s="301">
        <v>0.9411</v>
      </c>
      <c r="X132" s="301">
        <v>2.0212</v>
      </c>
      <c r="Y132" s="301">
        <v>1.6865</v>
      </c>
      <c r="Z132" s="301">
        <v>1.1449</v>
      </c>
      <c r="AA132" s="301">
        <v>5.5732</v>
      </c>
      <c r="AB132" s="301">
        <v>0.0642</v>
      </c>
      <c r="AC132" s="301">
        <v>0.2365</v>
      </c>
      <c r="AD132" s="301">
        <v>0.4078</v>
      </c>
      <c r="AE132" s="301">
        <v>1.7589</v>
      </c>
      <c r="AF132" s="301">
        <v>0.9146</v>
      </c>
      <c r="AG132" s="301">
        <v>0.0984</v>
      </c>
      <c r="AH132" s="301">
        <v>3.2257</v>
      </c>
      <c r="AI132" s="301">
        <v>0.2589</v>
      </c>
      <c r="AJ132" s="301">
        <v>0.4257</v>
      </c>
      <c r="AK132" s="301">
        <v>4.3751</v>
      </c>
      <c r="AL132" s="302">
        <v>129</v>
      </c>
      <c r="AM132" t="s">
        <v>411</v>
      </c>
    </row>
    <row r="133" spans="1:39" ht="12.75">
      <c r="A133" s="441">
        <v>40731</v>
      </c>
      <c r="B133" s="301">
        <v>0.0911</v>
      </c>
      <c r="C133" s="301">
        <v>2.7597</v>
      </c>
      <c r="D133" s="301">
        <v>2.9654</v>
      </c>
      <c r="E133" s="301">
        <v>0.3547</v>
      </c>
      <c r="F133" s="301">
        <v>2.86</v>
      </c>
      <c r="G133" s="301">
        <v>2.2854</v>
      </c>
      <c r="H133" s="301">
        <v>2.2519</v>
      </c>
      <c r="I133" s="301">
        <v>3.9498</v>
      </c>
      <c r="J133" s="301">
        <v>1.4947</v>
      </c>
      <c r="K133" s="301">
        <v>3.2867</v>
      </c>
      <c r="L133" s="301">
        <v>4.4115</v>
      </c>
      <c r="M133" s="301">
        <v>0.3456</v>
      </c>
      <c r="N133" s="301">
        <v>3.4107</v>
      </c>
      <c r="O133" s="301">
        <v>0.1628</v>
      </c>
      <c r="P133" s="301">
        <v>0.5295</v>
      </c>
      <c r="R133" s="301">
        <v>2.3815</v>
      </c>
      <c r="S133" s="301">
        <v>0.5105</v>
      </c>
      <c r="U133" s="301">
        <v>0.4351</v>
      </c>
      <c r="V133" s="301">
        <v>0.5337</v>
      </c>
      <c r="W133" s="301">
        <v>0.9382</v>
      </c>
      <c r="X133" s="301">
        <v>2.0195</v>
      </c>
      <c r="Y133" s="301">
        <v>1.6899</v>
      </c>
      <c r="Z133" s="301">
        <v>1.1439</v>
      </c>
      <c r="AA133" s="301">
        <v>5.5686</v>
      </c>
      <c r="AB133" s="301">
        <v>0.0644</v>
      </c>
      <c r="AC133" s="301">
        <v>0.2379</v>
      </c>
      <c r="AD133" s="301">
        <v>0.4111</v>
      </c>
      <c r="AE133" s="301">
        <v>1.7586</v>
      </c>
      <c r="AF133" s="301">
        <v>0.9173</v>
      </c>
      <c r="AG133" s="301">
        <v>0.0985</v>
      </c>
      <c r="AH133" s="301">
        <v>3.2342</v>
      </c>
      <c r="AI133" s="301">
        <v>0.2594</v>
      </c>
      <c r="AJ133" s="301">
        <v>0.4271</v>
      </c>
      <c r="AK133" s="301">
        <v>4.3957</v>
      </c>
      <c r="AL133" s="302">
        <v>130</v>
      </c>
      <c r="AM133" t="s">
        <v>411</v>
      </c>
    </row>
    <row r="134" spans="1:39" ht="12.75">
      <c r="A134" s="441">
        <v>40732</v>
      </c>
      <c r="B134" s="301">
        <v>0.0911</v>
      </c>
      <c r="C134" s="301">
        <v>2.7505</v>
      </c>
      <c r="D134" s="301">
        <v>2.9653</v>
      </c>
      <c r="E134" s="301">
        <v>0.3535</v>
      </c>
      <c r="F134" s="301">
        <v>2.8702</v>
      </c>
      <c r="G134" s="301">
        <v>2.2908</v>
      </c>
      <c r="H134" s="301">
        <v>2.2563</v>
      </c>
      <c r="I134" s="301">
        <v>3.9345</v>
      </c>
      <c r="J134" s="301">
        <v>1.4979</v>
      </c>
      <c r="K134" s="301">
        <v>3.2397</v>
      </c>
      <c r="L134" s="301">
        <v>4.3922</v>
      </c>
      <c r="M134" s="301">
        <v>0.3445</v>
      </c>
      <c r="N134" s="301">
        <v>3.3813</v>
      </c>
      <c r="O134" s="301">
        <v>0.1624</v>
      </c>
      <c r="P134" s="301">
        <v>0.5275</v>
      </c>
      <c r="R134" s="301">
        <v>2.3718</v>
      </c>
      <c r="S134" s="301">
        <v>0.508</v>
      </c>
      <c r="U134" s="301">
        <v>0.4333</v>
      </c>
      <c r="V134" s="301">
        <v>0.5324</v>
      </c>
      <c r="W134" s="301">
        <v>0.937</v>
      </c>
      <c r="X134" s="301">
        <v>2.0117</v>
      </c>
      <c r="Y134" s="301">
        <v>1.6958</v>
      </c>
      <c r="Z134" s="301">
        <v>1.1395</v>
      </c>
      <c r="AA134" s="301">
        <v>5.5486</v>
      </c>
      <c r="AB134" s="301">
        <v>0.0644</v>
      </c>
      <c r="AC134" s="301">
        <v>0.2386</v>
      </c>
      <c r="AD134" s="301">
        <v>0.4111</v>
      </c>
      <c r="AE134" s="301">
        <v>1.7717</v>
      </c>
      <c r="AF134" s="301">
        <v>0.9194</v>
      </c>
      <c r="AG134" s="301">
        <v>0.0985</v>
      </c>
      <c r="AH134" s="301">
        <v>3.2312</v>
      </c>
      <c r="AI134" s="301">
        <v>0.2603</v>
      </c>
      <c r="AJ134" s="301">
        <v>0.4256</v>
      </c>
      <c r="AK134" s="301">
        <v>4.3946</v>
      </c>
      <c r="AL134" s="302">
        <v>131</v>
      </c>
      <c r="AM134" t="s">
        <v>411</v>
      </c>
    </row>
    <row r="135" spans="1:39" ht="12.75">
      <c r="A135" s="441">
        <v>40735</v>
      </c>
      <c r="B135" s="301">
        <v>0.0928</v>
      </c>
      <c r="C135" s="301">
        <v>2.8123</v>
      </c>
      <c r="D135" s="301">
        <v>3.0116</v>
      </c>
      <c r="E135" s="301">
        <v>0.3614</v>
      </c>
      <c r="F135" s="301">
        <v>2.9126</v>
      </c>
      <c r="G135" s="301">
        <v>2.3463</v>
      </c>
      <c r="H135" s="301">
        <v>2.3013</v>
      </c>
      <c r="I135" s="301">
        <v>3.9743</v>
      </c>
      <c r="J135" s="301">
        <v>1.4977</v>
      </c>
      <c r="K135" s="301">
        <v>3.3571</v>
      </c>
      <c r="L135" s="301">
        <v>4.4862</v>
      </c>
      <c r="M135" s="301">
        <v>0.352</v>
      </c>
      <c r="N135" s="301">
        <v>3.4826</v>
      </c>
      <c r="O135" s="301">
        <v>0.1644</v>
      </c>
      <c r="P135" s="301">
        <v>0.5329</v>
      </c>
      <c r="R135" s="301">
        <v>2.4062</v>
      </c>
      <c r="S135" s="301">
        <v>0.5131</v>
      </c>
      <c r="U135" s="301">
        <v>0.4352</v>
      </c>
      <c r="V135" s="301">
        <v>0.5372</v>
      </c>
      <c r="W135" s="301">
        <v>0.9396</v>
      </c>
      <c r="X135" s="301">
        <v>2.0321</v>
      </c>
      <c r="Y135" s="301">
        <v>1.7156</v>
      </c>
      <c r="Z135" s="301">
        <v>1.151</v>
      </c>
      <c r="AA135" s="301">
        <v>5.6047</v>
      </c>
      <c r="AB135" s="301">
        <v>0.0656</v>
      </c>
      <c r="AC135" s="301">
        <v>0.2409</v>
      </c>
      <c r="AD135" s="301">
        <v>0.4162</v>
      </c>
      <c r="AE135" s="301">
        <v>1.7997</v>
      </c>
      <c r="AF135" s="301">
        <v>0.9345</v>
      </c>
      <c r="AG135" s="301">
        <v>0.0999</v>
      </c>
      <c r="AH135" s="301">
        <v>3.2997</v>
      </c>
      <c r="AI135" s="301">
        <v>0.2659</v>
      </c>
      <c r="AJ135" s="301">
        <v>0.435</v>
      </c>
      <c r="AK135" s="301">
        <v>4.4359</v>
      </c>
      <c r="AL135" s="302">
        <v>132</v>
      </c>
      <c r="AM135" t="s">
        <v>411</v>
      </c>
    </row>
    <row r="136" spans="1:39" ht="12.75">
      <c r="A136" s="441">
        <v>40736</v>
      </c>
      <c r="B136" s="301">
        <v>0.0955</v>
      </c>
      <c r="C136" s="301">
        <v>2.9039</v>
      </c>
      <c r="D136" s="301">
        <v>3.0673</v>
      </c>
      <c r="E136" s="301">
        <v>0.3725</v>
      </c>
      <c r="F136" s="301">
        <v>2.9812</v>
      </c>
      <c r="G136" s="301">
        <v>2.367</v>
      </c>
      <c r="H136" s="301">
        <v>2.3628</v>
      </c>
      <c r="I136" s="301">
        <v>4.0383</v>
      </c>
      <c r="J136" s="301">
        <v>1.499</v>
      </c>
      <c r="K136" s="301">
        <v>3.4817</v>
      </c>
      <c r="L136" s="301">
        <v>4.5947</v>
      </c>
      <c r="M136" s="301">
        <v>0.3638</v>
      </c>
      <c r="N136" s="301">
        <v>3.6481</v>
      </c>
      <c r="O136" s="301">
        <v>0.1667</v>
      </c>
      <c r="P136" s="301">
        <v>0.5415</v>
      </c>
      <c r="R136" s="301">
        <v>2.4556</v>
      </c>
      <c r="S136" s="301">
        <v>0.5191</v>
      </c>
      <c r="U136" s="301">
        <v>0.4368</v>
      </c>
      <c r="V136" s="301">
        <v>0.5439</v>
      </c>
      <c r="W136" s="301">
        <v>0.9417</v>
      </c>
      <c r="X136" s="301">
        <v>2.0648</v>
      </c>
      <c r="Y136" s="301">
        <v>1.756</v>
      </c>
      <c r="Z136" s="301">
        <v>1.1695</v>
      </c>
      <c r="AA136" s="301">
        <v>5.6934</v>
      </c>
      <c r="AB136" s="301">
        <v>0.0672</v>
      </c>
      <c r="AC136" s="301">
        <v>0.2448</v>
      </c>
      <c r="AD136" s="301">
        <v>0.4209</v>
      </c>
      <c r="AE136" s="301">
        <v>1.8412</v>
      </c>
      <c r="AF136" s="301">
        <v>0.9579</v>
      </c>
      <c r="AG136" s="301">
        <v>0.1022</v>
      </c>
      <c r="AH136" s="301">
        <v>3.3892</v>
      </c>
      <c r="AI136" s="301">
        <v>0.2723</v>
      </c>
      <c r="AJ136" s="301">
        <v>0.4487</v>
      </c>
      <c r="AK136" s="301">
        <v>4.5502</v>
      </c>
      <c r="AL136" s="302">
        <v>133</v>
      </c>
      <c r="AM136" t="s">
        <v>411</v>
      </c>
    </row>
    <row r="137" spans="1:39" ht="12.75">
      <c r="A137" s="441">
        <v>40737</v>
      </c>
      <c r="B137" s="301">
        <v>0.0948</v>
      </c>
      <c r="C137" s="301">
        <v>2.8658</v>
      </c>
      <c r="D137" s="301">
        <v>3.0537</v>
      </c>
      <c r="E137" s="301">
        <v>0.3678</v>
      </c>
      <c r="F137" s="301">
        <v>2.9783</v>
      </c>
      <c r="G137" s="301">
        <v>2.3631</v>
      </c>
      <c r="H137" s="301">
        <v>2.3417</v>
      </c>
      <c r="I137" s="301">
        <v>4.0288</v>
      </c>
      <c r="J137" s="301">
        <v>1.4982</v>
      </c>
      <c r="K137" s="301">
        <v>3.4472</v>
      </c>
      <c r="L137" s="301">
        <v>4.5686</v>
      </c>
      <c r="M137" s="301">
        <v>0.3588</v>
      </c>
      <c r="N137" s="301">
        <v>3.6125</v>
      </c>
      <c r="O137" s="301">
        <v>0.1657</v>
      </c>
      <c r="P137" s="301">
        <v>0.5402</v>
      </c>
      <c r="R137" s="301">
        <v>2.4447</v>
      </c>
      <c r="S137" s="301">
        <v>0.5147</v>
      </c>
      <c r="U137" s="301">
        <v>0.4374</v>
      </c>
      <c r="V137" s="301">
        <v>0.5411</v>
      </c>
      <c r="W137" s="301">
        <v>0.9411</v>
      </c>
      <c r="X137" s="301">
        <v>2.0599</v>
      </c>
      <c r="Y137" s="301">
        <v>1.7389</v>
      </c>
      <c r="Z137" s="301">
        <v>1.1668</v>
      </c>
      <c r="AA137" s="301">
        <v>5.68</v>
      </c>
      <c r="AB137" s="301">
        <v>0.0666</v>
      </c>
      <c r="AC137" s="301">
        <v>0.2436</v>
      </c>
      <c r="AD137" s="301">
        <v>0.418</v>
      </c>
      <c r="AE137" s="301">
        <v>1.8136</v>
      </c>
      <c r="AF137" s="301">
        <v>0.948</v>
      </c>
      <c r="AG137" s="301">
        <v>0.1016</v>
      </c>
      <c r="AH137" s="301">
        <v>3.3525</v>
      </c>
      <c r="AI137" s="301">
        <v>0.2701</v>
      </c>
      <c r="AJ137" s="301">
        <v>0.4427</v>
      </c>
      <c r="AK137" s="301">
        <v>4.5446</v>
      </c>
      <c r="AL137" s="302">
        <v>134</v>
      </c>
      <c r="AM137" t="s">
        <v>411</v>
      </c>
    </row>
    <row r="138" spans="1:39" ht="12.75">
      <c r="A138" s="441">
        <v>40738</v>
      </c>
      <c r="B138" s="301">
        <v>0.094</v>
      </c>
      <c r="C138" s="301">
        <v>2.8309</v>
      </c>
      <c r="D138" s="301">
        <v>3.0461</v>
      </c>
      <c r="E138" s="301">
        <v>0.3634</v>
      </c>
      <c r="F138" s="301">
        <v>2.9553</v>
      </c>
      <c r="G138" s="301">
        <v>2.3969</v>
      </c>
      <c r="H138" s="301">
        <v>2.3271</v>
      </c>
      <c r="I138" s="301">
        <v>4.0291</v>
      </c>
      <c r="J138" s="301">
        <v>1.4982</v>
      </c>
      <c r="K138" s="301">
        <v>3.4743</v>
      </c>
      <c r="L138" s="301">
        <v>4.5681</v>
      </c>
      <c r="M138" s="301">
        <v>0.3544</v>
      </c>
      <c r="N138" s="301">
        <v>3.5857</v>
      </c>
      <c r="O138" s="301">
        <v>0.1649</v>
      </c>
      <c r="P138" s="301">
        <v>0.5403</v>
      </c>
      <c r="R138" s="301">
        <v>2.4248</v>
      </c>
      <c r="S138" s="301">
        <v>0.5135</v>
      </c>
      <c r="U138" s="301">
        <v>0.4373</v>
      </c>
      <c r="V138" s="301">
        <v>0.5432</v>
      </c>
      <c r="W138" s="301">
        <v>0.9426</v>
      </c>
      <c r="X138" s="301">
        <v>2.0601</v>
      </c>
      <c r="Y138" s="301">
        <v>1.7217</v>
      </c>
      <c r="Z138" s="301">
        <v>1.1669</v>
      </c>
      <c r="AA138" s="301">
        <v>5.6804</v>
      </c>
      <c r="AB138" s="301">
        <v>0.0659</v>
      </c>
      <c r="AC138" s="301">
        <v>0.2424</v>
      </c>
      <c r="AD138" s="301">
        <v>0.4127</v>
      </c>
      <c r="AE138" s="301">
        <v>1.7987</v>
      </c>
      <c r="AF138" s="301">
        <v>0.9434</v>
      </c>
      <c r="AG138" s="301">
        <v>0.1009</v>
      </c>
      <c r="AH138" s="301">
        <v>3.3177</v>
      </c>
      <c r="AI138" s="301">
        <v>0.2675</v>
      </c>
      <c r="AJ138" s="301">
        <v>0.4383</v>
      </c>
      <c r="AK138" s="301">
        <v>4.5371</v>
      </c>
      <c r="AL138" s="302">
        <v>135</v>
      </c>
      <c r="AM138" t="s">
        <v>411</v>
      </c>
    </row>
    <row r="139" spans="1:39" ht="12.75">
      <c r="A139" s="441">
        <v>40739</v>
      </c>
      <c r="B139" s="301">
        <v>0.0948</v>
      </c>
      <c r="C139" s="301">
        <v>2.8545</v>
      </c>
      <c r="D139" s="301">
        <v>3.0401</v>
      </c>
      <c r="E139" s="301">
        <v>0.3662</v>
      </c>
      <c r="F139" s="301">
        <v>2.9712</v>
      </c>
      <c r="G139" s="301">
        <v>2.3975</v>
      </c>
      <c r="H139" s="301">
        <v>2.3424</v>
      </c>
      <c r="I139" s="301">
        <v>4.0343</v>
      </c>
      <c r="J139" s="301">
        <v>1.4894</v>
      </c>
      <c r="K139" s="301">
        <v>3.4909</v>
      </c>
      <c r="L139" s="301">
        <v>4.593</v>
      </c>
      <c r="M139" s="301">
        <v>0.3575</v>
      </c>
      <c r="N139" s="301">
        <v>3.6012</v>
      </c>
      <c r="O139" s="301">
        <v>0.1646</v>
      </c>
      <c r="P139" s="301">
        <v>0.541</v>
      </c>
      <c r="R139" s="301">
        <v>2.4299</v>
      </c>
      <c r="S139" s="301">
        <v>0.5132</v>
      </c>
      <c r="U139" s="301">
        <v>0.4373</v>
      </c>
      <c r="V139" s="301">
        <v>0.5427</v>
      </c>
      <c r="W139" s="301">
        <v>0.9431</v>
      </c>
      <c r="X139" s="301">
        <v>2.0627</v>
      </c>
      <c r="Y139" s="301">
        <v>1.7336</v>
      </c>
      <c r="Z139" s="301">
        <v>1.1684</v>
      </c>
      <c r="AA139" s="301">
        <v>5.6885</v>
      </c>
      <c r="AB139" s="301">
        <v>0.0664</v>
      </c>
      <c r="AC139" s="301">
        <v>0.2433</v>
      </c>
      <c r="AD139" s="301">
        <v>0.4136</v>
      </c>
      <c r="AE139" s="301">
        <v>1.8098</v>
      </c>
      <c r="AF139" s="301">
        <v>0.9495</v>
      </c>
      <c r="AG139" s="301">
        <v>0.1014</v>
      </c>
      <c r="AH139" s="301">
        <v>3.3437</v>
      </c>
      <c r="AI139" s="301">
        <v>0.2697</v>
      </c>
      <c r="AJ139" s="301">
        <v>0.4416</v>
      </c>
      <c r="AK139" s="301">
        <v>4.5229</v>
      </c>
      <c r="AL139" s="302">
        <v>136</v>
      </c>
      <c r="AM139" t="s">
        <v>411</v>
      </c>
    </row>
    <row r="140" spans="1:39" ht="12.75">
      <c r="A140" s="441">
        <v>40742</v>
      </c>
      <c r="B140" s="301">
        <v>0.0957</v>
      </c>
      <c r="C140" s="301">
        <v>2.8753</v>
      </c>
      <c r="D140" s="301">
        <v>3.053</v>
      </c>
      <c r="E140" s="301">
        <v>0.3689</v>
      </c>
      <c r="F140" s="301">
        <v>3.0012</v>
      </c>
      <c r="G140" s="301">
        <v>2.4326</v>
      </c>
      <c r="H140" s="301">
        <v>2.3591</v>
      </c>
      <c r="I140" s="301">
        <v>4.0402</v>
      </c>
      <c r="J140" s="301">
        <v>1.4837</v>
      </c>
      <c r="K140" s="301">
        <v>3.5204</v>
      </c>
      <c r="L140" s="301">
        <v>4.6279</v>
      </c>
      <c r="M140" s="301">
        <v>0.3601</v>
      </c>
      <c r="N140" s="301">
        <v>3.6377</v>
      </c>
      <c r="O140" s="301">
        <v>0.1651</v>
      </c>
      <c r="P140" s="301">
        <v>0.5418</v>
      </c>
      <c r="R140" s="301">
        <v>2.4346</v>
      </c>
      <c r="S140" s="301">
        <v>0.5149</v>
      </c>
      <c r="U140" s="301">
        <v>0.4373</v>
      </c>
      <c r="V140" s="301">
        <v>0.5434</v>
      </c>
      <c r="W140" s="301">
        <v>0.9468</v>
      </c>
      <c r="X140" s="301">
        <v>2.0658</v>
      </c>
      <c r="Y140" s="301">
        <v>1.7308</v>
      </c>
      <c r="Z140" s="301">
        <v>1.1701</v>
      </c>
      <c r="AA140" s="301">
        <v>5.6968</v>
      </c>
      <c r="AB140" s="301">
        <v>0.0668</v>
      </c>
      <c r="AC140" s="301">
        <v>0.2446</v>
      </c>
      <c r="AD140" s="301">
        <v>0.4143</v>
      </c>
      <c r="AE140" s="301">
        <v>1.826</v>
      </c>
      <c r="AF140" s="301">
        <v>0.9539</v>
      </c>
      <c r="AG140" s="301">
        <v>0.102</v>
      </c>
      <c r="AH140" s="301">
        <v>3.3601</v>
      </c>
      <c r="AI140" s="301">
        <v>0.271</v>
      </c>
      <c r="AJ140" s="301">
        <v>0.4447</v>
      </c>
      <c r="AK140" s="301">
        <v>4.5421</v>
      </c>
      <c r="AL140" s="302">
        <v>137</v>
      </c>
      <c r="AM140" t="s">
        <v>411</v>
      </c>
    </row>
    <row r="141" spans="1:39" ht="12.75">
      <c r="A141" s="441">
        <v>40743</v>
      </c>
      <c r="B141" s="301">
        <v>0.0951</v>
      </c>
      <c r="C141" s="301">
        <v>2.8372</v>
      </c>
      <c r="D141" s="301">
        <v>3.0249</v>
      </c>
      <c r="E141" s="301">
        <v>0.3638</v>
      </c>
      <c r="F141" s="301">
        <v>2.97</v>
      </c>
      <c r="G141" s="301">
        <v>2.4127</v>
      </c>
      <c r="H141" s="301">
        <v>2.3311</v>
      </c>
      <c r="I141" s="301">
        <v>4.0242</v>
      </c>
      <c r="J141" s="301">
        <v>1.4855</v>
      </c>
      <c r="K141" s="301">
        <v>3.4547</v>
      </c>
      <c r="L141" s="301">
        <v>4.5792</v>
      </c>
      <c r="M141" s="301">
        <v>0.3552</v>
      </c>
      <c r="N141" s="301">
        <v>3.5878</v>
      </c>
      <c r="O141" s="301">
        <v>0.1646</v>
      </c>
      <c r="P141" s="301">
        <v>0.5397</v>
      </c>
      <c r="R141" s="301">
        <v>2.4242</v>
      </c>
      <c r="S141" s="301">
        <v>0.5125</v>
      </c>
      <c r="U141" s="301">
        <v>0.4373</v>
      </c>
      <c r="V141" s="301">
        <v>0.5406</v>
      </c>
      <c r="W141" s="301">
        <v>0.9456</v>
      </c>
      <c r="X141" s="301">
        <v>2.0576</v>
      </c>
      <c r="Y141" s="301">
        <v>1.7126</v>
      </c>
      <c r="Z141" s="301">
        <v>1.1655</v>
      </c>
      <c r="AA141" s="301">
        <v>5.6751</v>
      </c>
      <c r="AB141" s="301">
        <v>0.0662</v>
      </c>
      <c r="AC141" s="301">
        <v>0.2425</v>
      </c>
      <c r="AD141" s="301">
        <v>0.4077</v>
      </c>
      <c r="AE141" s="301">
        <v>1.8005</v>
      </c>
      <c r="AF141" s="301">
        <v>0.9437</v>
      </c>
      <c r="AG141" s="301">
        <v>0.1011</v>
      </c>
      <c r="AH141" s="301">
        <v>3.317</v>
      </c>
      <c r="AI141" s="301">
        <v>0.2675</v>
      </c>
      <c r="AJ141" s="301">
        <v>0.4386</v>
      </c>
      <c r="AK141" s="301">
        <v>4.541</v>
      </c>
      <c r="AL141" s="302">
        <v>138</v>
      </c>
      <c r="AM141" t="s">
        <v>411</v>
      </c>
    </row>
    <row r="142" spans="1:39" ht="12.75">
      <c r="A142" s="441">
        <v>40744</v>
      </c>
      <c r="B142" s="301">
        <v>0.0944</v>
      </c>
      <c r="C142" s="301">
        <v>2.8218</v>
      </c>
      <c r="D142" s="301">
        <v>3.0303</v>
      </c>
      <c r="E142" s="301">
        <v>0.3621</v>
      </c>
      <c r="F142" s="301">
        <v>2.9739</v>
      </c>
      <c r="G142" s="301">
        <v>2.4132</v>
      </c>
      <c r="H142" s="301">
        <v>2.3236</v>
      </c>
      <c r="I142" s="301">
        <v>4.0014</v>
      </c>
      <c r="J142" s="301">
        <v>1.4801</v>
      </c>
      <c r="K142" s="301">
        <v>3.4325</v>
      </c>
      <c r="L142" s="301">
        <v>4.547</v>
      </c>
      <c r="M142" s="301">
        <v>0.3533</v>
      </c>
      <c r="N142" s="301">
        <v>3.5789</v>
      </c>
      <c r="O142" s="301">
        <v>0.1633</v>
      </c>
      <c r="P142" s="301">
        <v>0.5369</v>
      </c>
      <c r="R142" s="301">
        <v>2.4098</v>
      </c>
      <c r="S142" s="301">
        <v>0.5122</v>
      </c>
      <c r="U142" s="301">
        <v>0.4358</v>
      </c>
      <c r="V142" s="301">
        <v>0.5356</v>
      </c>
      <c r="W142" s="301">
        <v>0.9419</v>
      </c>
      <c r="X142" s="301">
        <v>2.0459</v>
      </c>
      <c r="Y142" s="301">
        <v>1.7019</v>
      </c>
      <c r="Z142" s="301">
        <v>1.1589</v>
      </c>
      <c r="AA142" s="301">
        <v>5.6413</v>
      </c>
      <c r="AB142" s="301">
        <v>0.066</v>
      </c>
      <c r="AC142" s="301">
        <v>0.2419</v>
      </c>
      <c r="AD142" s="301">
        <v>0.4078</v>
      </c>
      <c r="AE142" s="301">
        <v>1.8047</v>
      </c>
      <c r="AF142" s="301">
        <v>0.9405</v>
      </c>
      <c r="AG142" s="301">
        <v>0.1007</v>
      </c>
      <c r="AH142" s="301">
        <v>3.3053</v>
      </c>
      <c r="AI142" s="301">
        <v>0.2674</v>
      </c>
      <c r="AJ142" s="301">
        <v>0.437</v>
      </c>
      <c r="AK142" s="301">
        <v>4.4982</v>
      </c>
      <c r="AL142" s="302">
        <v>139</v>
      </c>
      <c r="AM142" t="s">
        <v>411</v>
      </c>
    </row>
    <row r="143" spans="1:39" ht="12.75">
      <c r="A143" s="441">
        <v>40745</v>
      </c>
      <c r="B143" s="301">
        <v>0.0939</v>
      </c>
      <c r="C143" s="301">
        <v>2.8064</v>
      </c>
      <c r="D143" s="301">
        <v>3.0048</v>
      </c>
      <c r="E143" s="301">
        <v>0.3601</v>
      </c>
      <c r="F143" s="301">
        <v>2.963</v>
      </c>
      <c r="G143" s="301">
        <v>2.4026</v>
      </c>
      <c r="H143" s="301">
        <v>2.3136</v>
      </c>
      <c r="I143" s="301">
        <v>3.9914</v>
      </c>
      <c r="J143" s="301">
        <v>1.4881</v>
      </c>
      <c r="K143" s="301">
        <v>3.4128</v>
      </c>
      <c r="L143" s="301">
        <v>4.5359</v>
      </c>
      <c r="M143" s="301">
        <v>0.3512</v>
      </c>
      <c r="N143" s="301">
        <v>3.5587</v>
      </c>
      <c r="O143" s="301">
        <v>0.1633</v>
      </c>
      <c r="P143" s="301">
        <v>0.5354</v>
      </c>
      <c r="R143" s="301">
        <v>2.4101</v>
      </c>
      <c r="S143" s="301">
        <v>0.5118</v>
      </c>
      <c r="U143" s="301">
        <v>0.4374</v>
      </c>
      <c r="V143" s="301">
        <v>0.5345</v>
      </c>
      <c r="W143" s="301">
        <v>0.9407</v>
      </c>
      <c r="X143" s="301">
        <v>2.0408</v>
      </c>
      <c r="Y143" s="301">
        <v>1.6765</v>
      </c>
      <c r="Z143" s="301">
        <v>1.156</v>
      </c>
      <c r="AA143" s="301">
        <v>5.6312</v>
      </c>
      <c r="AB143" s="301">
        <v>0.0659</v>
      </c>
      <c r="AC143" s="301">
        <v>0.2405</v>
      </c>
      <c r="AD143" s="301">
        <v>0.408</v>
      </c>
      <c r="AE143" s="301">
        <v>1.7925</v>
      </c>
      <c r="AF143" s="301">
        <v>0.937</v>
      </c>
      <c r="AG143" s="301">
        <v>0.1004</v>
      </c>
      <c r="AH143" s="301">
        <v>3.288</v>
      </c>
      <c r="AI143" s="301">
        <v>0.2661</v>
      </c>
      <c r="AJ143" s="301">
        <v>0.4349</v>
      </c>
      <c r="AK143" s="301">
        <v>4.479</v>
      </c>
      <c r="AL143" s="302">
        <v>140</v>
      </c>
      <c r="AM143" t="s">
        <v>411</v>
      </c>
    </row>
    <row r="144" spans="1:39" ht="12.75">
      <c r="A144" s="441">
        <v>40746</v>
      </c>
      <c r="B144" s="301">
        <v>0.0926</v>
      </c>
      <c r="C144" s="301">
        <v>2.7601</v>
      </c>
      <c r="D144" s="301">
        <v>2.9926</v>
      </c>
      <c r="E144" s="301">
        <v>0.3542</v>
      </c>
      <c r="F144" s="301">
        <v>2.9231</v>
      </c>
      <c r="G144" s="301">
        <v>2.3846</v>
      </c>
      <c r="H144" s="301">
        <v>2.2824</v>
      </c>
      <c r="I144" s="301">
        <v>3.976</v>
      </c>
      <c r="J144" s="301">
        <v>1.4915</v>
      </c>
      <c r="K144" s="301">
        <v>3.3564</v>
      </c>
      <c r="L144" s="301">
        <v>4.4962</v>
      </c>
      <c r="M144" s="301">
        <v>0.3452</v>
      </c>
      <c r="N144" s="301">
        <v>3.515</v>
      </c>
      <c r="O144" s="301">
        <v>0.1627</v>
      </c>
      <c r="P144" s="301">
        <v>0.5334</v>
      </c>
      <c r="R144" s="301">
        <v>2.3939</v>
      </c>
      <c r="S144" s="301">
        <v>0.5113</v>
      </c>
      <c r="U144" s="301">
        <v>0.4381</v>
      </c>
      <c r="V144" s="301">
        <v>0.5327</v>
      </c>
      <c r="W144" s="301">
        <v>0.9411</v>
      </c>
      <c r="X144" s="301">
        <v>2.0329</v>
      </c>
      <c r="Y144" s="301">
        <v>1.6527</v>
      </c>
      <c r="Z144" s="301">
        <v>1.1515</v>
      </c>
      <c r="AA144" s="301">
        <v>5.6055</v>
      </c>
      <c r="AB144" s="301">
        <v>0.0651</v>
      </c>
      <c r="AC144" s="301">
        <v>0.2382</v>
      </c>
      <c r="AD144" s="301">
        <v>0.4091</v>
      </c>
      <c r="AE144" s="301">
        <v>1.7773</v>
      </c>
      <c r="AF144" s="301">
        <v>0.9273</v>
      </c>
      <c r="AG144" s="301">
        <v>0.0996</v>
      </c>
      <c r="AH144" s="301">
        <v>3.2362</v>
      </c>
      <c r="AI144" s="301">
        <v>0.2624</v>
      </c>
      <c r="AJ144" s="301">
        <v>0.4281</v>
      </c>
      <c r="AK144" s="301">
        <v>4.4519</v>
      </c>
      <c r="AL144" s="302">
        <v>141</v>
      </c>
      <c r="AM144" t="s">
        <v>411</v>
      </c>
    </row>
    <row r="145" spans="1:39" ht="12.75">
      <c r="A145" s="441">
        <v>40749</v>
      </c>
      <c r="B145" s="301">
        <v>0.0938</v>
      </c>
      <c r="C145" s="301">
        <v>2.7878</v>
      </c>
      <c r="D145" s="301">
        <v>3.0192</v>
      </c>
      <c r="E145" s="301">
        <v>0.3578</v>
      </c>
      <c r="F145" s="301">
        <v>2.9339</v>
      </c>
      <c r="G145" s="301">
        <v>2.4123</v>
      </c>
      <c r="H145" s="301">
        <v>2.308</v>
      </c>
      <c r="I145" s="301">
        <v>4.0065</v>
      </c>
      <c r="J145" s="301">
        <v>1.487</v>
      </c>
      <c r="K145" s="301">
        <v>3.4606</v>
      </c>
      <c r="L145" s="301">
        <v>4.5379</v>
      </c>
      <c r="M145" s="301">
        <v>0.3487</v>
      </c>
      <c r="N145" s="301">
        <v>3.5675</v>
      </c>
      <c r="O145" s="301">
        <v>0.1642</v>
      </c>
      <c r="P145" s="301">
        <v>0.5375</v>
      </c>
      <c r="R145" s="301">
        <v>2.4194</v>
      </c>
      <c r="S145" s="301">
        <v>0.515</v>
      </c>
      <c r="U145" s="301">
        <v>0.4392</v>
      </c>
      <c r="V145" s="301">
        <v>0.5353</v>
      </c>
      <c r="W145" s="301">
        <v>0.9418</v>
      </c>
      <c r="X145" s="301">
        <v>2.0485</v>
      </c>
      <c r="Y145" s="301">
        <v>1.6283</v>
      </c>
      <c r="Z145" s="301">
        <v>1.1603</v>
      </c>
      <c r="AA145" s="301">
        <v>5.6469</v>
      </c>
      <c r="AB145" s="301">
        <v>0.0658</v>
      </c>
      <c r="AC145" s="301">
        <v>0.2392</v>
      </c>
      <c r="AD145" s="301">
        <v>0.4098</v>
      </c>
      <c r="AE145" s="301">
        <v>1.7945</v>
      </c>
      <c r="AF145" s="301">
        <v>0.9378</v>
      </c>
      <c r="AG145" s="301">
        <v>0.1006</v>
      </c>
      <c r="AH145" s="301">
        <v>3.2714</v>
      </c>
      <c r="AI145" s="301">
        <v>0.264</v>
      </c>
      <c r="AJ145" s="301">
        <v>0.4325</v>
      </c>
      <c r="AK145" s="301">
        <v>4.4671</v>
      </c>
      <c r="AL145" s="302">
        <v>142</v>
      </c>
      <c r="AM145" t="s">
        <v>411</v>
      </c>
    </row>
    <row r="146" spans="1:39" ht="12.75">
      <c r="A146" s="441">
        <v>40750</v>
      </c>
      <c r="B146" s="301">
        <v>0.0933</v>
      </c>
      <c r="C146" s="301">
        <v>2.7654</v>
      </c>
      <c r="D146" s="301">
        <v>3.0229</v>
      </c>
      <c r="E146" s="301">
        <v>0.355</v>
      </c>
      <c r="F146" s="301">
        <v>2.9323</v>
      </c>
      <c r="G146" s="301">
        <v>2.4093</v>
      </c>
      <c r="H146" s="301">
        <v>2.2982</v>
      </c>
      <c r="I146" s="301">
        <v>4.0043</v>
      </c>
      <c r="J146" s="301">
        <v>1.4947</v>
      </c>
      <c r="K146" s="301">
        <v>3.4447</v>
      </c>
      <c r="L146" s="301">
        <v>4.5298</v>
      </c>
      <c r="M146" s="301">
        <v>0.3461</v>
      </c>
      <c r="N146" s="301">
        <v>3.5413</v>
      </c>
      <c r="O146" s="301">
        <v>0.1641</v>
      </c>
      <c r="P146" s="301">
        <v>0.5372</v>
      </c>
      <c r="R146" s="301">
        <v>2.4105</v>
      </c>
      <c r="S146" s="301">
        <v>0.5159</v>
      </c>
      <c r="U146" s="301">
        <v>0.441</v>
      </c>
      <c r="V146" s="301">
        <v>0.538</v>
      </c>
      <c r="W146" s="301">
        <v>0.9425</v>
      </c>
      <c r="X146" s="301">
        <v>2.0474</v>
      </c>
      <c r="Y146" s="301">
        <v>1.6057</v>
      </c>
      <c r="Z146" s="301">
        <v>1.1597</v>
      </c>
      <c r="AA146" s="301">
        <v>5.6454</v>
      </c>
      <c r="AB146" s="301">
        <v>0.0655</v>
      </c>
      <c r="AC146" s="301">
        <v>0.2381</v>
      </c>
      <c r="AD146" s="301">
        <v>0.4121</v>
      </c>
      <c r="AE146" s="301">
        <v>1.7943</v>
      </c>
      <c r="AF146" s="301">
        <v>0.936</v>
      </c>
      <c r="AG146" s="301">
        <v>0.1002</v>
      </c>
      <c r="AH146" s="301">
        <v>3.2515</v>
      </c>
      <c r="AI146" s="301">
        <v>0.2631</v>
      </c>
      <c r="AJ146" s="301">
        <v>0.4293</v>
      </c>
      <c r="AK146" s="301">
        <v>4.4644</v>
      </c>
      <c r="AL146" s="302">
        <v>143</v>
      </c>
      <c r="AM146" t="s">
        <v>411</v>
      </c>
    </row>
    <row r="147" spans="1:39" ht="12.75">
      <c r="A147" s="441">
        <v>40751</v>
      </c>
      <c r="B147" s="301">
        <v>0.0932</v>
      </c>
      <c r="C147" s="301">
        <v>2.7644</v>
      </c>
      <c r="D147" s="301">
        <v>3.058</v>
      </c>
      <c r="E147" s="301">
        <v>0.3548</v>
      </c>
      <c r="F147" s="301">
        <v>2.9328</v>
      </c>
      <c r="G147" s="301">
        <v>2.4215</v>
      </c>
      <c r="H147" s="301">
        <v>2.3022</v>
      </c>
      <c r="I147" s="301">
        <v>4.006</v>
      </c>
      <c r="J147" s="301">
        <v>1.5001</v>
      </c>
      <c r="K147" s="301">
        <v>3.4563</v>
      </c>
      <c r="L147" s="301">
        <v>4.5399</v>
      </c>
      <c r="M147" s="301">
        <v>0.3456</v>
      </c>
      <c r="N147" s="301">
        <v>3.5574</v>
      </c>
      <c r="O147" s="301">
        <v>0.165</v>
      </c>
      <c r="P147" s="301">
        <v>0.5375</v>
      </c>
      <c r="R147" s="301">
        <v>2.4146</v>
      </c>
      <c r="S147" s="301">
        <v>0.5174</v>
      </c>
      <c r="U147" s="301">
        <v>0.442</v>
      </c>
      <c r="V147" s="301">
        <v>0.5371</v>
      </c>
      <c r="W147" s="301">
        <v>0.9469</v>
      </c>
      <c r="X147" s="301">
        <v>2.0483</v>
      </c>
      <c r="Y147" s="301">
        <v>1.6256</v>
      </c>
      <c r="Z147" s="301">
        <v>1.1602</v>
      </c>
      <c r="AA147" s="301">
        <v>5.6462</v>
      </c>
      <c r="AB147" s="301">
        <v>0.0657</v>
      </c>
      <c r="AC147" s="301">
        <v>0.2381</v>
      </c>
      <c r="AD147" s="301">
        <v>0.4164</v>
      </c>
      <c r="AE147" s="301">
        <v>1.7971</v>
      </c>
      <c r="AF147" s="301">
        <v>0.9408</v>
      </c>
      <c r="AG147" s="301">
        <v>0.1008</v>
      </c>
      <c r="AH147" s="301">
        <v>3.2572</v>
      </c>
      <c r="AI147" s="301">
        <v>0.2633</v>
      </c>
      <c r="AJ147" s="301">
        <v>0.429</v>
      </c>
      <c r="AK147" s="301">
        <v>4.4556</v>
      </c>
      <c r="AL147" s="302">
        <v>144</v>
      </c>
      <c r="AM147" t="s">
        <v>411</v>
      </c>
    </row>
    <row r="148" spans="1:39" ht="12.75">
      <c r="A148" s="441">
        <v>40752</v>
      </c>
      <c r="B148" s="301">
        <v>0.094</v>
      </c>
      <c r="C148" s="301">
        <v>2.788</v>
      </c>
      <c r="D148" s="301">
        <v>3.0829</v>
      </c>
      <c r="E148" s="301">
        <v>0.358</v>
      </c>
      <c r="F148" s="301">
        <v>2.9446</v>
      </c>
      <c r="G148" s="301">
        <v>2.4355</v>
      </c>
      <c r="H148" s="301">
        <v>2.3184</v>
      </c>
      <c r="I148" s="301">
        <v>4.0082</v>
      </c>
      <c r="J148" s="301">
        <v>1.5001</v>
      </c>
      <c r="K148" s="301">
        <v>3.4795</v>
      </c>
      <c r="L148" s="301">
        <v>4.56</v>
      </c>
      <c r="M148" s="301">
        <v>0.3487</v>
      </c>
      <c r="N148" s="301">
        <v>3.5884</v>
      </c>
      <c r="O148" s="301">
        <v>0.1654</v>
      </c>
      <c r="P148" s="301">
        <v>0.5379</v>
      </c>
      <c r="R148" s="301">
        <v>2.4217</v>
      </c>
      <c r="S148" s="301">
        <v>0.5177</v>
      </c>
      <c r="U148" s="301">
        <v>0.4412</v>
      </c>
      <c r="V148" s="301">
        <v>0.537</v>
      </c>
      <c r="W148" s="301">
        <v>0.9446</v>
      </c>
      <c r="X148" s="301">
        <v>2.0494</v>
      </c>
      <c r="Y148" s="301">
        <v>1.6694</v>
      </c>
      <c r="Z148" s="301">
        <v>1.1608</v>
      </c>
      <c r="AA148" s="301">
        <v>5.6501</v>
      </c>
      <c r="AB148" s="301">
        <v>0.0661</v>
      </c>
      <c r="AC148" s="301">
        <v>0.2398</v>
      </c>
      <c r="AD148" s="301">
        <v>0.4195</v>
      </c>
      <c r="AE148" s="301">
        <v>1.7928</v>
      </c>
      <c r="AF148" s="301">
        <v>0.9458</v>
      </c>
      <c r="AG148" s="301">
        <v>0.1011</v>
      </c>
      <c r="AH148" s="301">
        <v>3.2814</v>
      </c>
      <c r="AI148" s="301">
        <v>0.2651</v>
      </c>
      <c r="AJ148" s="301">
        <v>0.4328</v>
      </c>
      <c r="AK148" s="301">
        <v>4.4651</v>
      </c>
      <c r="AL148" s="302">
        <v>145</v>
      </c>
      <c r="AM148" t="s">
        <v>411</v>
      </c>
    </row>
    <row r="149" spans="1:39" ht="12.75">
      <c r="A149" s="441">
        <v>40753</v>
      </c>
      <c r="B149" s="301">
        <v>0.0943</v>
      </c>
      <c r="C149" s="301">
        <v>2.8109</v>
      </c>
      <c r="D149" s="301">
        <v>3.0751</v>
      </c>
      <c r="E149" s="301">
        <v>0.3606</v>
      </c>
      <c r="F149" s="301">
        <v>2.9572</v>
      </c>
      <c r="G149" s="301">
        <v>2.4345</v>
      </c>
      <c r="H149" s="301">
        <v>2.3325</v>
      </c>
      <c r="I149" s="301">
        <v>4.0125</v>
      </c>
      <c r="J149" s="301">
        <v>1.4847</v>
      </c>
      <c r="K149" s="301">
        <v>3.508</v>
      </c>
      <c r="L149" s="301">
        <v>4.5768</v>
      </c>
      <c r="M149" s="301">
        <v>0.351</v>
      </c>
      <c r="N149" s="301">
        <v>3.622</v>
      </c>
      <c r="O149" s="301">
        <v>0.1658</v>
      </c>
      <c r="P149" s="301">
        <v>0.5386</v>
      </c>
      <c r="R149" s="301">
        <v>2.4274</v>
      </c>
      <c r="S149" s="301">
        <v>0.5185</v>
      </c>
      <c r="U149" s="301">
        <v>0.4415</v>
      </c>
      <c r="V149" s="301">
        <v>0.5391</v>
      </c>
      <c r="W149" s="301">
        <v>0.9459</v>
      </c>
      <c r="X149" s="301">
        <v>2.0516</v>
      </c>
      <c r="Y149" s="301">
        <v>1.6711</v>
      </c>
      <c r="Z149" s="301">
        <v>1.1621</v>
      </c>
      <c r="AA149" s="301">
        <v>5.657</v>
      </c>
      <c r="AB149" s="301">
        <v>0.0667</v>
      </c>
      <c r="AC149" s="301">
        <v>0.2394</v>
      </c>
      <c r="AD149" s="301">
        <v>0.4154</v>
      </c>
      <c r="AE149" s="301">
        <v>1.7939</v>
      </c>
      <c r="AF149" s="301">
        <v>0.9466</v>
      </c>
      <c r="AG149" s="301">
        <v>0.1014</v>
      </c>
      <c r="AH149" s="301">
        <v>3.3086</v>
      </c>
      <c r="AI149" s="301">
        <v>0.2666</v>
      </c>
      <c r="AJ149" s="301">
        <v>0.4367</v>
      </c>
      <c r="AK149" s="301">
        <v>4.5063</v>
      </c>
      <c r="AL149" s="302">
        <v>146</v>
      </c>
      <c r="AM149" t="s">
        <v>411</v>
      </c>
    </row>
    <row r="150" spans="1:39" ht="12.75">
      <c r="A150" s="441">
        <v>40756</v>
      </c>
      <c r="B150" s="301">
        <v>0.0932</v>
      </c>
      <c r="C150" s="301">
        <v>2.7683</v>
      </c>
      <c r="D150" s="301">
        <v>3.0546</v>
      </c>
      <c r="E150" s="301">
        <v>0.3553</v>
      </c>
      <c r="F150" s="301">
        <v>2.9086</v>
      </c>
      <c r="G150" s="301">
        <v>2.4366</v>
      </c>
      <c r="H150" s="301">
        <v>2.3059</v>
      </c>
      <c r="I150" s="301">
        <v>3.9859</v>
      </c>
      <c r="J150" s="301">
        <v>1.4876</v>
      </c>
      <c r="K150" s="301">
        <v>3.4973</v>
      </c>
      <c r="L150" s="301">
        <v>4.5431</v>
      </c>
      <c r="M150" s="301">
        <v>0.3463</v>
      </c>
      <c r="N150" s="301">
        <v>3.5759</v>
      </c>
      <c r="O150" s="301">
        <v>0.165</v>
      </c>
      <c r="P150" s="301">
        <v>0.535</v>
      </c>
      <c r="R150" s="301">
        <v>2.4099</v>
      </c>
      <c r="S150" s="301">
        <v>0.5162</v>
      </c>
      <c r="U150" s="301">
        <v>0.4419</v>
      </c>
      <c r="V150" s="301">
        <v>0.5366</v>
      </c>
      <c r="W150" s="301">
        <v>0.9434</v>
      </c>
      <c r="X150" s="301">
        <v>2.038</v>
      </c>
      <c r="Y150" s="301">
        <v>1.6512</v>
      </c>
      <c r="Z150" s="301">
        <v>1.1544</v>
      </c>
      <c r="AA150" s="301">
        <v>5.6195</v>
      </c>
      <c r="AB150" s="301">
        <v>0.066</v>
      </c>
      <c r="AC150" s="301">
        <v>0.2377</v>
      </c>
      <c r="AD150" s="301">
        <v>0.4152</v>
      </c>
      <c r="AE150" s="301">
        <v>1.7871</v>
      </c>
      <c r="AF150" s="301">
        <v>0.9409</v>
      </c>
      <c r="AG150" s="301">
        <v>0.1006</v>
      </c>
      <c r="AH150" s="301">
        <v>3.2723</v>
      </c>
      <c r="AI150" s="301">
        <v>0.2635</v>
      </c>
      <c r="AJ150" s="301">
        <v>0.4302</v>
      </c>
      <c r="AK150" s="301">
        <v>4.4695</v>
      </c>
      <c r="AL150" s="302">
        <v>147</v>
      </c>
      <c r="AM150" t="s">
        <v>411</v>
      </c>
    </row>
    <row r="151" spans="1:39" ht="12.75">
      <c r="A151" s="441">
        <v>40757</v>
      </c>
      <c r="B151" s="301">
        <v>0.0953</v>
      </c>
      <c r="C151" s="301">
        <v>2.8331</v>
      </c>
      <c r="D151" s="301">
        <v>3.0818</v>
      </c>
      <c r="E151" s="301">
        <v>0.3637</v>
      </c>
      <c r="F151" s="301">
        <v>2.9637</v>
      </c>
      <c r="G151" s="301">
        <v>2.4736</v>
      </c>
      <c r="H151" s="301">
        <v>2.351</v>
      </c>
      <c r="I151" s="301">
        <v>4.0225</v>
      </c>
      <c r="J151" s="301">
        <v>1.4926</v>
      </c>
      <c r="K151" s="301">
        <v>3.6342</v>
      </c>
      <c r="L151" s="301">
        <v>4.613</v>
      </c>
      <c r="M151" s="301">
        <v>0.3544</v>
      </c>
      <c r="N151" s="301">
        <v>3.6621</v>
      </c>
      <c r="O151" s="301">
        <v>0.1666</v>
      </c>
      <c r="P151" s="301">
        <v>0.54</v>
      </c>
      <c r="R151" s="301">
        <v>2.4431</v>
      </c>
      <c r="S151" s="301">
        <v>0.5253</v>
      </c>
      <c r="U151" s="301">
        <v>0.4462</v>
      </c>
      <c r="V151" s="301">
        <v>0.5414</v>
      </c>
      <c r="W151" s="301">
        <v>0.9498</v>
      </c>
      <c r="X151" s="301">
        <v>2.0567</v>
      </c>
      <c r="Y151" s="301">
        <v>1.671</v>
      </c>
      <c r="Z151" s="301">
        <v>1.165</v>
      </c>
      <c r="AA151" s="301">
        <v>5.6703</v>
      </c>
      <c r="AB151" s="301">
        <v>0.0673</v>
      </c>
      <c r="AC151" s="301">
        <v>0.2411</v>
      </c>
      <c r="AD151" s="301">
        <v>0.4214</v>
      </c>
      <c r="AE151" s="301">
        <v>1.809</v>
      </c>
      <c r="AF151" s="301">
        <v>0.9579</v>
      </c>
      <c r="AG151" s="301">
        <v>0.1018</v>
      </c>
      <c r="AH151" s="301">
        <v>3.3441</v>
      </c>
      <c r="AI151" s="301">
        <v>0.2697</v>
      </c>
      <c r="AJ151" s="301">
        <v>0.4402</v>
      </c>
      <c r="AK151" s="301">
        <v>4.4918</v>
      </c>
      <c r="AL151" s="302">
        <v>148</v>
      </c>
      <c r="AM151" t="s">
        <v>411</v>
      </c>
    </row>
    <row r="152" spans="1:39" ht="12.75">
      <c r="A152" s="441">
        <v>40758</v>
      </c>
      <c r="B152" s="301">
        <v>0.0948</v>
      </c>
      <c r="C152" s="301">
        <v>2.8252</v>
      </c>
      <c r="D152" s="301">
        <v>3.0391</v>
      </c>
      <c r="E152" s="301">
        <v>0.3626</v>
      </c>
      <c r="F152" s="301">
        <v>2.9436</v>
      </c>
      <c r="G152" s="301">
        <v>2.4404</v>
      </c>
      <c r="H152" s="301">
        <v>2.339</v>
      </c>
      <c r="I152" s="301">
        <v>4.0321</v>
      </c>
      <c r="J152" s="301">
        <v>1.4748</v>
      </c>
      <c r="K152" s="301">
        <v>3.6383</v>
      </c>
      <c r="L152" s="301">
        <v>4.6242</v>
      </c>
      <c r="M152" s="301">
        <v>0.3533</v>
      </c>
      <c r="N152" s="301">
        <v>3.6604</v>
      </c>
      <c r="O152" s="301">
        <v>0.1661</v>
      </c>
      <c r="P152" s="301">
        <v>0.5413</v>
      </c>
      <c r="R152" s="301">
        <v>2.4425</v>
      </c>
      <c r="S152" s="301">
        <v>0.5245</v>
      </c>
      <c r="U152" s="301">
        <v>0.4435</v>
      </c>
      <c r="V152" s="301">
        <v>0.5411</v>
      </c>
      <c r="W152" s="301">
        <v>0.9514</v>
      </c>
      <c r="X152" s="301">
        <v>2.0616</v>
      </c>
      <c r="Y152" s="301">
        <v>1.6532</v>
      </c>
      <c r="Z152" s="301">
        <v>1.1677</v>
      </c>
      <c r="AA152" s="301">
        <v>5.6854</v>
      </c>
      <c r="AB152" s="301">
        <v>0.0669</v>
      </c>
      <c r="AC152" s="301">
        <v>0.239</v>
      </c>
      <c r="AD152" s="301">
        <v>0.4157</v>
      </c>
      <c r="AE152" s="301">
        <v>1.8043</v>
      </c>
      <c r="AF152" s="301">
        <v>0.9509</v>
      </c>
      <c r="AG152" s="301">
        <v>0.1015</v>
      </c>
      <c r="AH152" s="301">
        <v>3.352</v>
      </c>
      <c r="AI152" s="301">
        <v>0.2664</v>
      </c>
      <c r="AJ152" s="301">
        <v>0.4391</v>
      </c>
      <c r="AK152" s="301">
        <v>4.5453</v>
      </c>
      <c r="AL152" s="302">
        <v>149</v>
      </c>
      <c r="AM152" t="s">
        <v>411</v>
      </c>
    </row>
    <row r="153" spans="1:39" ht="12.75">
      <c r="A153" s="441">
        <v>40759</v>
      </c>
      <c r="B153" s="301">
        <v>0.0948</v>
      </c>
      <c r="C153" s="301">
        <v>2.8237</v>
      </c>
      <c r="D153" s="301">
        <v>3.0057</v>
      </c>
      <c r="E153" s="301">
        <v>0.3621</v>
      </c>
      <c r="F153" s="301">
        <v>2.9189</v>
      </c>
      <c r="G153" s="301">
        <v>2.4056</v>
      </c>
      <c r="H153" s="301">
        <v>2.332</v>
      </c>
      <c r="I153" s="301">
        <v>4.0278</v>
      </c>
      <c r="J153" s="301">
        <v>1.4808</v>
      </c>
      <c r="K153" s="301">
        <v>3.6355</v>
      </c>
      <c r="L153" s="301">
        <v>4.6291</v>
      </c>
      <c r="M153" s="301">
        <v>0.3533</v>
      </c>
      <c r="N153" s="301">
        <v>3.5537</v>
      </c>
      <c r="O153" s="301">
        <v>0.1659</v>
      </c>
      <c r="P153" s="301">
        <v>0.5407</v>
      </c>
      <c r="R153" s="301">
        <v>2.4451</v>
      </c>
      <c r="S153" s="301">
        <v>0.5231</v>
      </c>
      <c r="U153" s="301">
        <v>0.4418</v>
      </c>
      <c r="V153" s="301">
        <v>0.5406</v>
      </c>
      <c r="W153" s="301">
        <v>0.9534</v>
      </c>
      <c r="X153" s="301">
        <v>2.0594</v>
      </c>
      <c r="Y153" s="301">
        <v>1.6678</v>
      </c>
      <c r="Z153" s="301">
        <v>1.1665</v>
      </c>
      <c r="AA153" s="301">
        <v>5.6794</v>
      </c>
      <c r="AB153" s="301">
        <v>0.0667</v>
      </c>
      <c r="AC153" s="301">
        <v>0.2379</v>
      </c>
      <c r="AD153" s="301">
        <v>0.4151</v>
      </c>
      <c r="AE153" s="301">
        <v>1.8075</v>
      </c>
      <c r="AF153" s="301">
        <v>0.9478</v>
      </c>
      <c r="AG153" s="301">
        <v>0.1012</v>
      </c>
      <c r="AH153" s="301">
        <v>3.3187</v>
      </c>
      <c r="AI153" s="301">
        <v>0.2659</v>
      </c>
      <c r="AJ153" s="301">
        <v>0.4385</v>
      </c>
      <c r="AK153" s="301">
        <v>4.5202</v>
      </c>
      <c r="AL153" s="302">
        <v>150</v>
      </c>
      <c r="AM153" t="s">
        <v>411</v>
      </c>
    </row>
    <row r="154" spans="1:39" ht="12.75">
      <c r="A154" s="441">
        <v>40760</v>
      </c>
      <c r="B154" s="301">
        <v>0.0957</v>
      </c>
      <c r="C154" s="301">
        <v>2.8572</v>
      </c>
      <c r="D154" s="301">
        <v>2.9877</v>
      </c>
      <c r="E154" s="301">
        <v>0.3662</v>
      </c>
      <c r="F154" s="301">
        <v>2.9188</v>
      </c>
      <c r="G154" s="301">
        <v>2.3911</v>
      </c>
      <c r="H154" s="301">
        <v>2.3404</v>
      </c>
      <c r="I154" s="301">
        <v>4.0423</v>
      </c>
      <c r="J154" s="301">
        <v>1.4785</v>
      </c>
      <c r="K154" s="301">
        <v>3.7147</v>
      </c>
      <c r="L154" s="301">
        <v>4.6549</v>
      </c>
      <c r="M154" s="301">
        <v>0.3577</v>
      </c>
      <c r="N154" s="301">
        <v>3.6393</v>
      </c>
      <c r="O154" s="301">
        <v>0.1668</v>
      </c>
      <c r="P154" s="301">
        <v>0.5427</v>
      </c>
      <c r="R154" s="301">
        <v>2.4573</v>
      </c>
      <c r="S154" s="301">
        <v>0.52</v>
      </c>
      <c r="U154" s="301">
        <v>0.4391</v>
      </c>
      <c r="V154" s="301">
        <v>0.5427</v>
      </c>
      <c r="W154" s="301">
        <v>0.9528</v>
      </c>
      <c r="X154" s="301">
        <v>2.0668</v>
      </c>
      <c r="Y154" s="301">
        <v>1.6439</v>
      </c>
      <c r="Z154" s="301">
        <v>1.1707</v>
      </c>
      <c r="AA154" s="301">
        <v>5.699</v>
      </c>
      <c r="AB154" s="301">
        <v>0.0671</v>
      </c>
      <c r="AC154" s="301">
        <v>0.237</v>
      </c>
      <c r="AD154" s="301">
        <v>0.4126</v>
      </c>
      <c r="AE154" s="301">
        <v>1.8005</v>
      </c>
      <c r="AF154" s="301">
        <v>0.949</v>
      </c>
      <c r="AG154" s="301">
        <v>0.1011</v>
      </c>
      <c r="AH154" s="301">
        <v>3.3564</v>
      </c>
      <c r="AI154" s="301">
        <v>0.2677</v>
      </c>
      <c r="AJ154" s="301">
        <v>0.4438</v>
      </c>
      <c r="AK154" s="301">
        <v>4.5336</v>
      </c>
      <c r="AL154" s="302">
        <v>151</v>
      </c>
      <c r="AM154" t="s">
        <v>411</v>
      </c>
    </row>
    <row r="155" spans="1:39" ht="12.75">
      <c r="A155" s="441">
        <v>40763</v>
      </c>
      <c r="B155" s="301">
        <v>0.095</v>
      </c>
      <c r="C155" s="301">
        <v>2.8287</v>
      </c>
      <c r="D155" s="301">
        <v>2.9287</v>
      </c>
      <c r="E155" s="301">
        <v>0.3624</v>
      </c>
      <c r="F155" s="301">
        <v>2.8752</v>
      </c>
      <c r="G155" s="301">
        <v>2.3476</v>
      </c>
      <c r="H155" s="301">
        <v>2.3285</v>
      </c>
      <c r="I155" s="301">
        <v>4.0546</v>
      </c>
      <c r="J155" s="301">
        <v>1.476</v>
      </c>
      <c r="K155" s="301">
        <v>3.722</v>
      </c>
      <c r="L155" s="301">
        <v>4.6434</v>
      </c>
      <c r="M155" s="301">
        <v>0.3541</v>
      </c>
      <c r="N155" s="301">
        <v>3.6348</v>
      </c>
      <c r="O155" s="301">
        <v>0.1673</v>
      </c>
      <c r="P155" s="301">
        <v>0.5443</v>
      </c>
      <c r="R155" s="301">
        <v>2.4566</v>
      </c>
      <c r="S155" s="301">
        <v>0.5175</v>
      </c>
      <c r="U155" s="301">
        <v>0.4381</v>
      </c>
      <c r="V155" s="301">
        <v>0.5438</v>
      </c>
      <c r="W155" s="301">
        <v>0.9551</v>
      </c>
      <c r="X155" s="301">
        <v>2.0731</v>
      </c>
      <c r="Y155" s="301">
        <v>1.6208</v>
      </c>
      <c r="Z155" s="301">
        <v>1.1743</v>
      </c>
      <c r="AA155" s="301">
        <v>5.7163</v>
      </c>
      <c r="AB155" s="301">
        <v>0.0664</v>
      </c>
      <c r="AC155" s="301">
        <v>0.2333</v>
      </c>
      <c r="AD155" s="301">
        <v>0.4073</v>
      </c>
      <c r="AE155" s="301">
        <v>1.7946</v>
      </c>
      <c r="AF155" s="301">
        <v>0.9368</v>
      </c>
      <c r="AG155" s="301">
        <v>0.1015</v>
      </c>
      <c r="AH155" s="301">
        <v>3.326</v>
      </c>
      <c r="AI155" s="301">
        <v>0.2618</v>
      </c>
      <c r="AJ155" s="301">
        <v>0.4396</v>
      </c>
      <c r="AK155" s="301">
        <v>4.5474</v>
      </c>
      <c r="AL155" s="302">
        <v>152</v>
      </c>
      <c r="AM155" t="s">
        <v>411</v>
      </c>
    </row>
    <row r="156" spans="1:39" ht="12.75">
      <c r="A156" s="441">
        <v>40764</v>
      </c>
      <c r="B156" s="301">
        <v>0.0963</v>
      </c>
      <c r="C156" s="301">
        <v>2.8831</v>
      </c>
      <c r="D156" s="301">
        <v>2.9247</v>
      </c>
      <c r="E156" s="301">
        <v>0.3691</v>
      </c>
      <c r="F156" s="301">
        <v>2.8879</v>
      </c>
      <c r="G156" s="301">
        <v>2.3543</v>
      </c>
      <c r="H156" s="301">
        <v>2.3718</v>
      </c>
      <c r="I156" s="301">
        <v>4.1033</v>
      </c>
      <c r="J156" s="301">
        <v>1.4921</v>
      </c>
      <c r="K156" s="301">
        <v>3.8487</v>
      </c>
      <c r="L156" s="301">
        <v>4.7154</v>
      </c>
      <c r="M156" s="301">
        <v>0.3615</v>
      </c>
      <c r="N156" s="301">
        <v>3.7303</v>
      </c>
      <c r="O156" s="301">
        <v>0.1701</v>
      </c>
      <c r="P156" s="301">
        <v>0.5508</v>
      </c>
      <c r="R156" s="301">
        <v>2.493</v>
      </c>
      <c r="S156" s="301">
        <v>0.5234</v>
      </c>
      <c r="U156" s="301">
        <v>0.4446</v>
      </c>
      <c r="V156" s="301">
        <v>0.5504</v>
      </c>
      <c r="W156" s="301">
        <v>0.9616</v>
      </c>
      <c r="X156" s="301">
        <v>2.0981</v>
      </c>
      <c r="Y156" s="301">
        <v>1.6187</v>
      </c>
      <c r="Z156" s="301">
        <v>1.1884</v>
      </c>
      <c r="AA156" s="301">
        <v>5.7858</v>
      </c>
      <c r="AB156" s="301">
        <v>0.0678</v>
      </c>
      <c r="AC156" s="301">
        <v>0.2286</v>
      </c>
      <c r="AD156" s="301">
        <v>0.3935</v>
      </c>
      <c r="AE156" s="301">
        <v>1.7715</v>
      </c>
      <c r="AF156" s="301">
        <v>0.9531</v>
      </c>
      <c r="AG156" s="301">
        <v>0.0968</v>
      </c>
      <c r="AH156" s="301">
        <v>3.3738</v>
      </c>
      <c r="AI156" s="301">
        <v>0.2653</v>
      </c>
      <c r="AJ156" s="301">
        <v>0.4483</v>
      </c>
      <c r="AK156" s="301">
        <v>4.6199</v>
      </c>
      <c r="AL156" s="302">
        <v>153</v>
      </c>
      <c r="AM156" t="s">
        <v>411</v>
      </c>
    </row>
    <row r="157" spans="1:39" ht="12.75">
      <c r="A157" s="441">
        <v>40765</v>
      </c>
      <c r="B157" s="301">
        <v>0.0954</v>
      </c>
      <c r="C157" s="301">
        <v>2.8485</v>
      </c>
      <c r="D157" s="301">
        <v>2.9475</v>
      </c>
      <c r="E157" s="301">
        <v>0.365</v>
      </c>
      <c r="F157" s="301">
        <v>2.8963</v>
      </c>
      <c r="G157" s="301">
        <v>2.3809</v>
      </c>
      <c r="H157" s="301">
        <v>2.3505</v>
      </c>
      <c r="I157" s="301">
        <v>4.0923</v>
      </c>
      <c r="J157" s="301">
        <v>1.4923</v>
      </c>
      <c r="K157" s="301">
        <v>3.9393</v>
      </c>
      <c r="L157" s="301">
        <v>4.6264</v>
      </c>
      <c r="M157" s="301">
        <v>0.3567</v>
      </c>
      <c r="N157" s="301">
        <v>3.7167</v>
      </c>
      <c r="O157" s="301">
        <v>0.1699</v>
      </c>
      <c r="P157" s="301">
        <v>0.5493</v>
      </c>
      <c r="R157" s="301">
        <v>2.4852</v>
      </c>
      <c r="S157" s="301">
        <v>0.5236</v>
      </c>
      <c r="U157" s="301">
        <v>0.4426</v>
      </c>
      <c r="V157" s="301">
        <v>0.5497</v>
      </c>
      <c r="W157" s="301">
        <v>0.9603</v>
      </c>
      <c r="X157" s="301">
        <v>2.0924</v>
      </c>
      <c r="Y157" s="301">
        <v>1.6282</v>
      </c>
      <c r="Z157" s="301">
        <v>1.1852</v>
      </c>
      <c r="AA157" s="301">
        <v>5.7703</v>
      </c>
      <c r="AB157" s="301">
        <v>0.0671</v>
      </c>
      <c r="AC157" s="301">
        <v>0.2342</v>
      </c>
      <c r="AD157" s="301">
        <v>0.3991</v>
      </c>
      <c r="AE157" s="301">
        <v>1.7924</v>
      </c>
      <c r="AF157" s="301">
        <v>0.9475</v>
      </c>
      <c r="AG157" s="301">
        <v>0.0967</v>
      </c>
      <c r="AH157" s="301">
        <v>3.3412</v>
      </c>
      <c r="AI157" s="301">
        <v>0.2632</v>
      </c>
      <c r="AJ157" s="301">
        <v>0.4439</v>
      </c>
      <c r="AK157" s="301">
        <v>4.5955</v>
      </c>
      <c r="AL157" s="302">
        <v>154</v>
      </c>
      <c r="AM157" t="s">
        <v>411</v>
      </c>
    </row>
    <row r="158" spans="1:39" ht="12.75">
      <c r="A158" s="441">
        <v>40766</v>
      </c>
      <c r="B158" s="301">
        <v>0.0977</v>
      </c>
      <c r="C158" s="301">
        <v>2.9191</v>
      </c>
      <c r="D158" s="301">
        <v>3.003</v>
      </c>
      <c r="E158" s="301">
        <v>0.3743</v>
      </c>
      <c r="F158" s="301">
        <v>2.953</v>
      </c>
      <c r="G158" s="301">
        <v>2.4001</v>
      </c>
      <c r="H158" s="301">
        <v>2.4111</v>
      </c>
      <c r="I158" s="301">
        <v>4.1605</v>
      </c>
      <c r="J158" s="301">
        <v>1.5132</v>
      </c>
      <c r="K158" s="301">
        <v>3.9562</v>
      </c>
      <c r="L158" s="301">
        <v>4.7241</v>
      </c>
      <c r="M158" s="301">
        <v>0.3654</v>
      </c>
      <c r="N158" s="301">
        <v>3.8129</v>
      </c>
      <c r="O158" s="301">
        <v>0.172</v>
      </c>
      <c r="P158" s="301">
        <v>0.5584</v>
      </c>
      <c r="R158" s="301">
        <v>2.533</v>
      </c>
      <c r="S158" s="301">
        <v>0.5314</v>
      </c>
      <c r="U158" s="301">
        <v>0.4475</v>
      </c>
      <c r="V158" s="301">
        <v>0.559</v>
      </c>
      <c r="W158" s="301">
        <v>0.9709</v>
      </c>
      <c r="X158" s="301">
        <v>2.1273</v>
      </c>
      <c r="Y158" s="301">
        <v>1.6548</v>
      </c>
      <c r="Z158" s="301">
        <v>1.2049</v>
      </c>
      <c r="AA158" s="301">
        <v>5.8656</v>
      </c>
      <c r="AB158" s="301">
        <v>0.0686</v>
      </c>
      <c r="AC158" s="301">
        <v>0.2374</v>
      </c>
      <c r="AD158" s="301">
        <v>0.4071</v>
      </c>
      <c r="AE158" s="301">
        <v>1.7984</v>
      </c>
      <c r="AF158" s="301">
        <v>0.9744</v>
      </c>
      <c r="AG158" s="301">
        <v>0.0992</v>
      </c>
      <c r="AH158" s="301">
        <v>3.4226</v>
      </c>
      <c r="AI158" s="301">
        <v>0.2702</v>
      </c>
      <c r="AJ158" s="301">
        <v>0.4566</v>
      </c>
      <c r="AK158" s="301">
        <v>4.6534</v>
      </c>
      <c r="AL158" s="302">
        <v>155</v>
      </c>
      <c r="AM158" t="s">
        <v>411</v>
      </c>
    </row>
    <row r="159" spans="1:39" ht="12.75">
      <c r="A159" s="441">
        <v>40767</v>
      </c>
      <c r="B159" s="301">
        <v>0.0975</v>
      </c>
      <c r="C159" s="301">
        <v>2.9186</v>
      </c>
      <c r="D159" s="301">
        <v>3.0067</v>
      </c>
      <c r="E159" s="301">
        <v>0.3744</v>
      </c>
      <c r="F159" s="301">
        <v>2.9563</v>
      </c>
      <c r="G159" s="301">
        <v>2.41</v>
      </c>
      <c r="H159" s="301">
        <v>2.4084</v>
      </c>
      <c r="I159" s="301">
        <v>4.1509</v>
      </c>
      <c r="J159" s="301">
        <v>1.5166</v>
      </c>
      <c r="K159" s="301">
        <v>3.7884</v>
      </c>
      <c r="L159" s="301">
        <v>4.7477</v>
      </c>
      <c r="M159" s="301">
        <v>0.3644</v>
      </c>
      <c r="N159" s="301">
        <v>3.8066</v>
      </c>
      <c r="O159" s="301">
        <v>0.1714</v>
      </c>
      <c r="P159" s="301">
        <v>0.5572</v>
      </c>
      <c r="R159" s="301">
        <v>2.5317</v>
      </c>
      <c r="S159" s="301">
        <v>0.527</v>
      </c>
      <c r="U159" s="301">
        <v>0.449</v>
      </c>
      <c r="V159" s="301">
        <v>0.5575</v>
      </c>
      <c r="W159" s="301">
        <v>0.9705</v>
      </c>
      <c r="X159" s="301">
        <v>2.1224</v>
      </c>
      <c r="Y159" s="301">
        <v>1.64</v>
      </c>
      <c r="Z159" s="301">
        <v>1.2021</v>
      </c>
      <c r="AA159" s="301">
        <v>5.8529</v>
      </c>
      <c r="AB159" s="301">
        <v>0.0685</v>
      </c>
      <c r="AC159" s="301">
        <v>0.2366</v>
      </c>
      <c r="AD159" s="301">
        <v>0.4036</v>
      </c>
      <c r="AE159" s="301">
        <v>1.7938</v>
      </c>
      <c r="AF159" s="301">
        <v>0.9716</v>
      </c>
      <c r="AG159" s="301">
        <v>0.0993</v>
      </c>
      <c r="AH159" s="301">
        <v>3.4158</v>
      </c>
      <c r="AI159" s="301">
        <v>0.2705</v>
      </c>
      <c r="AJ159" s="301">
        <v>0.4569</v>
      </c>
      <c r="AK159" s="301">
        <v>4.6917</v>
      </c>
      <c r="AL159" s="302">
        <v>156</v>
      </c>
      <c r="AM159" t="s">
        <v>411</v>
      </c>
    </row>
    <row r="160" spans="1:39" ht="12.75">
      <c r="A160" s="441">
        <v>40771</v>
      </c>
      <c r="B160" s="301">
        <v>0.0971</v>
      </c>
      <c r="C160" s="301">
        <v>2.8914</v>
      </c>
      <c r="D160" s="301">
        <v>3.0145</v>
      </c>
      <c r="E160" s="301">
        <v>0.3718</v>
      </c>
      <c r="F160" s="301">
        <v>2.9348</v>
      </c>
      <c r="G160" s="301">
        <v>2.4009</v>
      </c>
      <c r="H160" s="301">
        <v>2.4014</v>
      </c>
      <c r="I160" s="301">
        <v>4.1583</v>
      </c>
      <c r="J160" s="301">
        <v>1.539</v>
      </c>
      <c r="K160" s="301">
        <v>3.7004</v>
      </c>
      <c r="L160" s="301">
        <v>4.7299</v>
      </c>
      <c r="M160" s="301">
        <v>0.3614</v>
      </c>
      <c r="N160" s="301">
        <v>3.7647</v>
      </c>
      <c r="O160" s="301">
        <v>0.1706</v>
      </c>
      <c r="P160" s="301">
        <v>0.5582</v>
      </c>
      <c r="R160" s="301">
        <v>2.5348</v>
      </c>
      <c r="S160" s="301">
        <v>0.5289</v>
      </c>
      <c r="U160" s="301">
        <v>0.4491</v>
      </c>
      <c r="V160" s="301">
        <v>0.5576</v>
      </c>
      <c r="W160" s="301">
        <v>0.9734</v>
      </c>
      <c r="X160" s="301">
        <v>2.1261</v>
      </c>
      <c r="Y160" s="301">
        <v>1.6274</v>
      </c>
      <c r="Z160" s="301">
        <v>1.2043</v>
      </c>
      <c r="AA160" s="301">
        <v>5.8634</v>
      </c>
      <c r="AB160" s="301">
        <v>0.0682</v>
      </c>
      <c r="AC160" s="301">
        <v>0.2357</v>
      </c>
      <c r="AD160" s="301">
        <v>0.4034</v>
      </c>
      <c r="AE160" s="301">
        <v>1.8188</v>
      </c>
      <c r="AF160" s="301">
        <v>0.97</v>
      </c>
      <c r="AG160" s="301">
        <v>0.1006</v>
      </c>
      <c r="AH160" s="301">
        <v>3.3904</v>
      </c>
      <c r="AI160" s="301">
        <v>0.2695</v>
      </c>
      <c r="AJ160" s="301">
        <v>0.453</v>
      </c>
      <c r="AK160" s="301">
        <v>4.6593</v>
      </c>
      <c r="AL160" s="302">
        <v>157</v>
      </c>
      <c r="AM160" t="s">
        <v>411</v>
      </c>
    </row>
    <row r="161" spans="1:39" ht="12.75">
      <c r="A161" s="441">
        <v>40772</v>
      </c>
      <c r="B161" s="301">
        <v>0.0965</v>
      </c>
      <c r="C161" s="301">
        <v>2.8785</v>
      </c>
      <c r="D161" s="301">
        <v>3.0235</v>
      </c>
      <c r="E161" s="301">
        <v>0.3694</v>
      </c>
      <c r="F161" s="301">
        <v>2.9315</v>
      </c>
      <c r="G161" s="301">
        <v>2.4063</v>
      </c>
      <c r="H161" s="301">
        <v>2.3921</v>
      </c>
      <c r="I161" s="301">
        <v>4.1475</v>
      </c>
      <c r="J161" s="301">
        <v>1.5309</v>
      </c>
      <c r="K161" s="301">
        <v>3.6734</v>
      </c>
      <c r="L161" s="301">
        <v>4.7179</v>
      </c>
      <c r="M161" s="301">
        <v>0.3598</v>
      </c>
      <c r="N161" s="301">
        <v>3.7549</v>
      </c>
      <c r="O161" s="301">
        <v>0.17</v>
      </c>
      <c r="P161" s="301">
        <v>0.5568</v>
      </c>
      <c r="R161" s="301">
        <v>2.5327</v>
      </c>
      <c r="S161" s="301">
        <v>0.5305</v>
      </c>
      <c r="U161" s="301">
        <v>0.4514</v>
      </c>
      <c r="V161" s="301">
        <v>0.556</v>
      </c>
      <c r="W161" s="301">
        <v>0.9726</v>
      </c>
      <c r="X161" s="301">
        <v>2.1206</v>
      </c>
      <c r="Y161" s="301">
        <v>1.6214</v>
      </c>
      <c r="Z161" s="301">
        <v>1.2012</v>
      </c>
      <c r="AA161" s="301">
        <v>5.849</v>
      </c>
      <c r="AB161" s="301">
        <v>0.0678</v>
      </c>
      <c r="AC161" s="301">
        <v>0.2351</v>
      </c>
      <c r="AD161" s="301">
        <v>0.4043</v>
      </c>
      <c r="AE161" s="301">
        <v>1.8106</v>
      </c>
      <c r="AF161" s="301">
        <v>0.9673</v>
      </c>
      <c r="AG161" s="301">
        <v>0.1002</v>
      </c>
      <c r="AH161" s="301">
        <v>3.3743</v>
      </c>
      <c r="AI161" s="301">
        <v>0.2686</v>
      </c>
      <c r="AJ161" s="301">
        <v>0.4507</v>
      </c>
      <c r="AK161" s="301">
        <v>4.6411</v>
      </c>
      <c r="AL161" s="302">
        <v>158</v>
      </c>
      <c r="AM161" t="s">
        <v>411</v>
      </c>
    </row>
    <row r="162" spans="1:39" ht="12.75">
      <c r="A162" s="441">
        <v>40773</v>
      </c>
      <c r="B162" s="301">
        <v>0.0963</v>
      </c>
      <c r="C162" s="301">
        <v>2.8722</v>
      </c>
      <c r="D162" s="301">
        <v>3.005</v>
      </c>
      <c r="E162" s="301">
        <v>0.369</v>
      </c>
      <c r="F162" s="301">
        <v>2.9202</v>
      </c>
      <c r="G162" s="301">
        <v>2.3872</v>
      </c>
      <c r="H162" s="301">
        <v>2.3772</v>
      </c>
      <c r="I162" s="301">
        <v>4.1417</v>
      </c>
      <c r="J162" s="301">
        <v>1.5274</v>
      </c>
      <c r="K162" s="301">
        <v>3.6112</v>
      </c>
      <c r="L162" s="301">
        <v>4.748</v>
      </c>
      <c r="M162" s="301">
        <v>0.3587</v>
      </c>
      <c r="N162" s="301">
        <v>3.7517</v>
      </c>
      <c r="O162" s="301">
        <v>0.1697</v>
      </c>
      <c r="P162" s="301">
        <v>0.556</v>
      </c>
      <c r="R162" s="301">
        <v>2.5345</v>
      </c>
      <c r="S162" s="301">
        <v>0.5314</v>
      </c>
      <c r="U162" s="301">
        <v>0.4527</v>
      </c>
      <c r="V162" s="301">
        <v>0.5543</v>
      </c>
      <c r="W162" s="301">
        <v>0.9735</v>
      </c>
      <c r="X162" s="301">
        <v>2.1177</v>
      </c>
      <c r="Y162" s="301">
        <v>1.6184</v>
      </c>
      <c r="Z162" s="301">
        <v>1.1995</v>
      </c>
      <c r="AA162" s="301">
        <v>5.8391</v>
      </c>
      <c r="AB162" s="301">
        <v>0.0676</v>
      </c>
      <c r="AC162" s="301">
        <v>0.2345</v>
      </c>
      <c r="AD162" s="301">
        <v>0.4025</v>
      </c>
      <c r="AE162" s="301">
        <v>1.8077</v>
      </c>
      <c r="AF162" s="301">
        <v>0.9633</v>
      </c>
      <c r="AG162" s="301">
        <v>0.0991</v>
      </c>
      <c r="AH162" s="301">
        <v>3.3653</v>
      </c>
      <c r="AI162" s="301">
        <v>0.2669</v>
      </c>
      <c r="AJ162" s="301">
        <v>0.4496</v>
      </c>
      <c r="AK162" s="301">
        <v>4.6121</v>
      </c>
      <c r="AL162" s="302">
        <v>159</v>
      </c>
      <c r="AM162" t="s">
        <v>411</v>
      </c>
    </row>
    <row r="163" spans="1:39" ht="12.75">
      <c r="A163" s="441">
        <v>40774</v>
      </c>
      <c r="B163" s="301">
        <v>0.0982</v>
      </c>
      <c r="C163" s="301">
        <v>2.927</v>
      </c>
      <c r="D163" s="301">
        <v>3.0352</v>
      </c>
      <c r="E163" s="301">
        <v>0.3753</v>
      </c>
      <c r="F163" s="301">
        <v>2.9618</v>
      </c>
      <c r="G163" s="301">
        <v>2.4098</v>
      </c>
      <c r="H163" s="301">
        <v>2.4181</v>
      </c>
      <c r="I163" s="301">
        <v>4.1913</v>
      </c>
      <c r="J163" s="301">
        <v>1.5313</v>
      </c>
      <c r="K163" s="301">
        <v>3.6972</v>
      </c>
      <c r="L163" s="301">
        <v>4.8354</v>
      </c>
      <c r="M163" s="301">
        <v>0.3663</v>
      </c>
      <c r="N163" s="301">
        <v>3.8324</v>
      </c>
      <c r="O163" s="301">
        <v>0.1715</v>
      </c>
      <c r="P163" s="301">
        <v>0.5626</v>
      </c>
      <c r="R163" s="301">
        <v>2.5651</v>
      </c>
      <c r="S163" s="301">
        <v>0.5334</v>
      </c>
      <c r="U163" s="301">
        <v>0.4537</v>
      </c>
      <c r="V163" s="301">
        <v>0.5605</v>
      </c>
      <c r="W163" s="301">
        <v>0.982</v>
      </c>
      <c r="X163" s="301">
        <v>2.143</v>
      </c>
      <c r="Y163" s="301">
        <v>1.6349</v>
      </c>
      <c r="Z163" s="301">
        <v>1.2138</v>
      </c>
      <c r="AA163" s="301">
        <v>5.9099</v>
      </c>
      <c r="AB163" s="301">
        <v>0.0687</v>
      </c>
      <c r="AC163" s="301">
        <v>0.2374</v>
      </c>
      <c r="AD163" s="301">
        <v>0.4058</v>
      </c>
      <c r="AE163" s="301">
        <v>1.8303</v>
      </c>
      <c r="AF163" s="301">
        <v>0.9823</v>
      </c>
      <c r="AG163" s="301">
        <v>0.1</v>
      </c>
      <c r="AH163" s="301">
        <v>3.4245</v>
      </c>
      <c r="AI163" s="301">
        <v>0.2693</v>
      </c>
      <c r="AJ163" s="301">
        <v>0.4581</v>
      </c>
      <c r="AK163" s="301">
        <v>4.6933</v>
      </c>
      <c r="AL163" s="302">
        <v>160</v>
      </c>
      <c r="AM163" t="s">
        <v>411</v>
      </c>
    </row>
    <row r="164" spans="1:39" ht="12.75">
      <c r="A164" s="441">
        <v>40777</v>
      </c>
      <c r="B164" s="301">
        <v>0.0972</v>
      </c>
      <c r="C164" s="301">
        <v>2.8943</v>
      </c>
      <c r="D164" s="301">
        <v>3.0203</v>
      </c>
      <c r="E164" s="301">
        <v>0.3713</v>
      </c>
      <c r="F164" s="301">
        <v>2.9349</v>
      </c>
      <c r="G164" s="301">
        <v>2.3804</v>
      </c>
      <c r="H164" s="301">
        <v>2.3975</v>
      </c>
      <c r="I164" s="301">
        <v>4.1728</v>
      </c>
      <c r="J164" s="301">
        <v>1.5302</v>
      </c>
      <c r="K164" s="301">
        <v>3.6783</v>
      </c>
      <c r="L164" s="301">
        <v>4.7736</v>
      </c>
      <c r="M164" s="301">
        <v>0.3619</v>
      </c>
      <c r="N164" s="301">
        <v>3.7727</v>
      </c>
      <c r="O164" s="301">
        <v>0.1706</v>
      </c>
      <c r="P164" s="301">
        <v>0.5602</v>
      </c>
      <c r="R164" s="301">
        <v>2.5482</v>
      </c>
      <c r="S164" s="301">
        <v>0.5308</v>
      </c>
      <c r="U164" s="301">
        <v>0.456</v>
      </c>
      <c r="V164" s="301">
        <v>0.5575</v>
      </c>
      <c r="W164" s="301">
        <v>0.9791</v>
      </c>
      <c r="X164" s="301">
        <v>2.1336</v>
      </c>
      <c r="Y164" s="301">
        <v>1.6171</v>
      </c>
      <c r="Z164" s="301">
        <v>1.2085</v>
      </c>
      <c r="AA164" s="301">
        <v>5.8813</v>
      </c>
      <c r="AB164" s="301">
        <v>0.0682</v>
      </c>
      <c r="AC164" s="301">
        <v>0.236</v>
      </c>
      <c r="AD164" s="301">
        <v>0.4028</v>
      </c>
      <c r="AE164" s="301">
        <v>1.8114</v>
      </c>
      <c r="AF164" s="301">
        <v>0.9746</v>
      </c>
      <c r="AG164" s="301">
        <v>0.0992</v>
      </c>
      <c r="AH164" s="301">
        <v>3.3897</v>
      </c>
      <c r="AI164" s="301">
        <v>0.2676</v>
      </c>
      <c r="AJ164" s="301">
        <v>0.4523</v>
      </c>
      <c r="AK164" s="301">
        <v>4.6621</v>
      </c>
      <c r="AL164" s="302">
        <v>161</v>
      </c>
      <c r="AM164" t="s">
        <v>411</v>
      </c>
    </row>
    <row r="165" spans="1:39" ht="12.75">
      <c r="A165" s="441">
        <v>40778</v>
      </c>
      <c r="B165" s="301">
        <v>0.097</v>
      </c>
      <c r="C165" s="301">
        <v>2.8713</v>
      </c>
      <c r="D165" s="301">
        <v>3.0135</v>
      </c>
      <c r="E165" s="301">
        <v>0.3683</v>
      </c>
      <c r="F165" s="301">
        <v>2.9109</v>
      </c>
      <c r="G165" s="301">
        <v>2.3888</v>
      </c>
      <c r="H165" s="301">
        <v>2.3885</v>
      </c>
      <c r="I165" s="301">
        <v>4.1533</v>
      </c>
      <c r="J165" s="301">
        <v>1.5315</v>
      </c>
      <c r="K165" s="301">
        <v>3.6485</v>
      </c>
      <c r="L165" s="301">
        <v>4.758</v>
      </c>
      <c r="M165" s="301">
        <v>0.3585</v>
      </c>
      <c r="N165" s="301">
        <v>3.751</v>
      </c>
      <c r="O165" s="301">
        <v>0.1703</v>
      </c>
      <c r="P165" s="301">
        <v>0.5575</v>
      </c>
      <c r="R165" s="301">
        <v>2.5364</v>
      </c>
      <c r="S165" s="301">
        <v>0.5306</v>
      </c>
      <c r="U165" s="301">
        <v>0.4553</v>
      </c>
      <c r="V165" s="301">
        <v>0.5557</v>
      </c>
      <c r="W165" s="301">
        <v>0.9752</v>
      </c>
      <c r="X165" s="301">
        <v>2.1235</v>
      </c>
      <c r="Y165" s="301">
        <v>1.6082</v>
      </c>
      <c r="Z165" s="301">
        <v>1.2029</v>
      </c>
      <c r="AA165" s="301">
        <v>5.8547</v>
      </c>
      <c r="AB165" s="301">
        <v>0.0678</v>
      </c>
      <c r="AC165" s="301">
        <v>0.2336</v>
      </c>
      <c r="AD165" s="301">
        <v>0.4001</v>
      </c>
      <c r="AE165" s="301">
        <v>1.7851</v>
      </c>
      <c r="AF165" s="301">
        <v>0.9675</v>
      </c>
      <c r="AG165" s="301">
        <v>0.0994</v>
      </c>
      <c r="AH165" s="301">
        <v>3.3662</v>
      </c>
      <c r="AI165" s="301">
        <v>0.2666</v>
      </c>
      <c r="AJ165" s="301">
        <v>0.4487</v>
      </c>
      <c r="AK165" s="301">
        <v>4.6416</v>
      </c>
      <c r="AL165" s="302">
        <v>162</v>
      </c>
      <c r="AM165" t="s">
        <v>411</v>
      </c>
    </row>
    <row r="166" spans="1:39" ht="12.75">
      <c r="A166" s="441">
        <v>40779</v>
      </c>
      <c r="B166" s="301">
        <v>0.0966</v>
      </c>
      <c r="C166" s="301">
        <v>2.8823</v>
      </c>
      <c r="D166" s="301">
        <v>3.0203</v>
      </c>
      <c r="E166" s="301">
        <v>0.3697</v>
      </c>
      <c r="F166" s="301">
        <v>2.9145</v>
      </c>
      <c r="G166" s="301">
        <v>2.3888</v>
      </c>
      <c r="H166" s="301">
        <v>2.3907</v>
      </c>
      <c r="I166" s="301">
        <v>4.1601</v>
      </c>
      <c r="J166" s="301">
        <v>1.5276</v>
      </c>
      <c r="K166" s="301">
        <v>3.6439</v>
      </c>
      <c r="L166" s="301">
        <v>4.7525</v>
      </c>
      <c r="M166" s="301">
        <v>0.3607</v>
      </c>
      <c r="N166" s="301">
        <v>3.7643</v>
      </c>
      <c r="O166" s="301">
        <v>0.1702</v>
      </c>
      <c r="P166" s="301">
        <v>0.5584</v>
      </c>
      <c r="R166" s="301">
        <v>2.5405</v>
      </c>
      <c r="S166" s="301">
        <v>0.5306</v>
      </c>
      <c r="U166" s="301">
        <v>0.455</v>
      </c>
      <c r="V166" s="301">
        <v>0.5573</v>
      </c>
      <c r="W166" s="301">
        <v>0.9794</v>
      </c>
      <c r="X166" s="301">
        <v>2.1271</v>
      </c>
      <c r="Y166" s="301">
        <v>1.6202</v>
      </c>
      <c r="Z166" s="301">
        <v>1.2048</v>
      </c>
      <c r="AA166" s="301">
        <v>5.8651</v>
      </c>
      <c r="AB166" s="301">
        <v>0.0678</v>
      </c>
      <c r="AC166" s="301">
        <v>0.2327</v>
      </c>
      <c r="AD166" s="301">
        <v>0.3991</v>
      </c>
      <c r="AE166" s="301">
        <v>1.8049</v>
      </c>
      <c r="AF166" s="301">
        <v>0.9676</v>
      </c>
      <c r="AG166" s="301">
        <v>0.0997</v>
      </c>
      <c r="AH166" s="301">
        <v>3.3713</v>
      </c>
      <c r="AI166" s="301">
        <v>0.2663</v>
      </c>
      <c r="AJ166" s="301">
        <v>0.451</v>
      </c>
      <c r="AK166" s="301">
        <v>4.6411</v>
      </c>
      <c r="AL166" s="302">
        <v>163</v>
      </c>
      <c r="AM166" t="s">
        <v>411</v>
      </c>
    </row>
    <row r="167" spans="1:39" ht="12.75">
      <c r="A167" s="441">
        <v>40780</v>
      </c>
      <c r="B167" s="301">
        <v>0.0962</v>
      </c>
      <c r="C167" s="301">
        <v>2.8773</v>
      </c>
      <c r="D167" s="301">
        <v>3.0138</v>
      </c>
      <c r="E167" s="301">
        <v>0.3694</v>
      </c>
      <c r="F167" s="301">
        <v>2.921</v>
      </c>
      <c r="G167" s="301">
        <v>2.3906</v>
      </c>
      <c r="H167" s="301">
        <v>2.3845</v>
      </c>
      <c r="I167" s="301">
        <v>4.1592</v>
      </c>
      <c r="J167" s="301">
        <v>1.5312</v>
      </c>
      <c r="K167" s="301">
        <v>3.635</v>
      </c>
      <c r="L167" s="301">
        <v>4.717</v>
      </c>
      <c r="M167" s="301">
        <v>0.3597</v>
      </c>
      <c r="N167" s="301">
        <v>3.7364</v>
      </c>
      <c r="O167" s="301">
        <v>0.1716</v>
      </c>
      <c r="P167" s="301">
        <v>0.5583</v>
      </c>
      <c r="R167" s="301">
        <v>2.5284</v>
      </c>
      <c r="S167" s="301">
        <v>0.5324</v>
      </c>
      <c r="U167" s="301">
        <v>0.457</v>
      </c>
      <c r="V167" s="301">
        <v>0.5571</v>
      </c>
      <c r="W167" s="301">
        <v>0.9783</v>
      </c>
      <c r="X167" s="301">
        <v>2.1265</v>
      </c>
      <c r="Y167" s="301">
        <v>1.6222</v>
      </c>
      <c r="Z167" s="301">
        <v>1.2046</v>
      </c>
      <c r="AA167" s="301">
        <v>5.8613</v>
      </c>
      <c r="AB167" s="301">
        <v>0.0677</v>
      </c>
      <c r="AC167" s="301">
        <v>0.2314</v>
      </c>
      <c r="AD167" s="301">
        <v>0.3971</v>
      </c>
      <c r="AE167" s="301">
        <v>1.7842</v>
      </c>
      <c r="AF167" s="301">
        <v>0.9645</v>
      </c>
      <c r="AG167" s="301">
        <v>0.0997</v>
      </c>
      <c r="AH167" s="301">
        <v>3.3568</v>
      </c>
      <c r="AI167" s="301">
        <v>0.2656</v>
      </c>
      <c r="AJ167" s="301">
        <v>0.4507</v>
      </c>
      <c r="AK167" s="301">
        <v>4.6473</v>
      </c>
      <c r="AL167" s="302">
        <v>164</v>
      </c>
      <c r="AM167" t="s">
        <v>411</v>
      </c>
    </row>
    <row r="168" spans="1:39" ht="12.75">
      <c r="A168" s="441">
        <v>40781</v>
      </c>
      <c r="B168" s="301">
        <v>0.0961</v>
      </c>
      <c r="C168" s="301">
        <v>2.8836</v>
      </c>
      <c r="D168" s="301">
        <v>3.027</v>
      </c>
      <c r="E168" s="301">
        <v>0.3697</v>
      </c>
      <c r="F168" s="301">
        <v>2.924</v>
      </c>
      <c r="G168" s="301">
        <v>2.4027</v>
      </c>
      <c r="H168" s="301">
        <v>2.3904</v>
      </c>
      <c r="I168" s="301">
        <v>4.1629</v>
      </c>
      <c r="J168" s="301">
        <v>1.527</v>
      </c>
      <c r="K168" s="301">
        <v>3.6426</v>
      </c>
      <c r="L168" s="301">
        <v>4.7052</v>
      </c>
      <c r="M168" s="301">
        <v>0.3604</v>
      </c>
      <c r="N168" s="301">
        <v>3.7468</v>
      </c>
      <c r="O168" s="301">
        <v>0.1718</v>
      </c>
      <c r="P168" s="301">
        <v>0.5587</v>
      </c>
      <c r="R168" s="301">
        <v>2.5323</v>
      </c>
      <c r="S168" s="301">
        <v>0.5348</v>
      </c>
      <c r="U168" s="301">
        <v>0.4577</v>
      </c>
      <c r="V168" s="301">
        <v>0.5559</v>
      </c>
      <c r="W168" s="301">
        <v>0.9804</v>
      </c>
      <c r="X168" s="301">
        <v>2.1285</v>
      </c>
      <c r="Y168" s="301">
        <v>1.6445</v>
      </c>
      <c r="Z168" s="301">
        <v>1.2056</v>
      </c>
      <c r="AA168" s="301">
        <v>5.8699</v>
      </c>
      <c r="AB168" s="301">
        <v>0.068</v>
      </c>
      <c r="AC168" s="301">
        <v>0.2313</v>
      </c>
      <c r="AD168" s="301">
        <v>0.3997</v>
      </c>
      <c r="AE168" s="301">
        <v>1.7915</v>
      </c>
      <c r="AF168" s="301">
        <v>0.9651</v>
      </c>
      <c r="AG168" s="301">
        <v>0.0998</v>
      </c>
      <c r="AH168" s="301">
        <v>3.3788</v>
      </c>
      <c r="AI168" s="301">
        <v>0.2666</v>
      </c>
      <c r="AJ168" s="301">
        <v>0.4515</v>
      </c>
      <c r="AK168" s="301">
        <v>4.6447</v>
      </c>
      <c r="AL168" s="302">
        <v>165</v>
      </c>
      <c r="AM168" t="s">
        <v>411</v>
      </c>
    </row>
    <row r="169" spans="1:39" ht="12.75">
      <c r="A169" s="441">
        <v>40784</v>
      </c>
      <c r="B169" s="301">
        <v>0.0955</v>
      </c>
      <c r="C169" s="301">
        <v>2.8658</v>
      </c>
      <c r="D169" s="301">
        <v>3.0431</v>
      </c>
      <c r="E169" s="301">
        <v>0.3677</v>
      </c>
      <c r="F169" s="301">
        <v>2.9324</v>
      </c>
      <c r="G169" s="301">
        <v>2.422</v>
      </c>
      <c r="H169" s="301">
        <v>2.3727</v>
      </c>
      <c r="I169" s="301">
        <v>4.1607</v>
      </c>
      <c r="J169" s="301">
        <v>1.5265</v>
      </c>
      <c r="K169" s="301">
        <v>3.5265</v>
      </c>
      <c r="L169" s="301">
        <v>4.6963</v>
      </c>
      <c r="M169" s="301">
        <v>0.3583</v>
      </c>
      <c r="N169" s="301">
        <v>3.7408</v>
      </c>
      <c r="O169" s="301">
        <v>0.1727</v>
      </c>
      <c r="P169" s="301">
        <v>0.5584</v>
      </c>
      <c r="R169" s="301">
        <v>2.5292</v>
      </c>
      <c r="S169" s="301">
        <v>0.5351</v>
      </c>
      <c r="U169" s="301">
        <v>0.4566</v>
      </c>
      <c r="V169" s="301">
        <v>0.5569</v>
      </c>
      <c r="W169" s="301">
        <v>0.9821</v>
      </c>
      <c r="X169" s="301">
        <v>2.1274</v>
      </c>
      <c r="Y169" s="301">
        <v>1.6407</v>
      </c>
      <c r="Z169" s="301">
        <v>1.205</v>
      </c>
      <c r="AA169" s="301">
        <v>5.8643</v>
      </c>
      <c r="AB169" s="301">
        <v>0.0677</v>
      </c>
      <c r="AC169" s="301">
        <v>0.2304</v>
      </c>
      <c r="AD169" s="301">
        <v>0.4045</v>
      </c>
      <c r="AE169" s="301">
        <v>1.7876</v>
      </c>
      <c r="AF169" s="301">
        <v>0.9599</v>
      </c>
      <c r="AG169" s="301">
        <v>0.0996</v>
      </c>
      <c r="AH169" s="301">
        <v>3.3587</v>
      </c>
      <c r="AI169" s="301">
        <v>0.2666</v>
      </c>
      <c r="AJ169" s="301">
        <v>0.4492</v>
      </c>
      <c r="AK169" s="301">
        <v>4.6485</v>
      </c>
      <c r="AL169" s="302">
        <v>166</v>
      </c>
      <c r="AM169" t="s">
        <v>411</v>
      </c>
    </row>
    <row r="170" spans="1:39" ht="12.75">
      <c r="A170" s="441">
        <v>40785</v>
      </c>
      <c r="B170" s="301">
        <v>0.0959</v>
      </c>
      <c r="C170" s="301">
        <v>2.8755</v>
      </c>
      <c r="D170" s="301">
        <v>3.061</v>
      </c>
      <c r="E170" s="301">
        <v>0.3689</v>
      </c>
      <c r="F170" s="301">
        <v>2.9368</v>
      </c>
      <c r="G170" s="301">
        <v>2.4441</v>
      </c>
      <c r="H170" s="301">
        <v>2.3817</v>
      </c>
      <c r="I170" s="301">
        <v>4.1498</v>
      </c>
      <c r="J170" s="301">
        <v>1.5268</v>
      </c>
      <c r="K170" s="301">
        <v>3.5298</v>
      </c>
      <c r="L170" s="301">
        <v>4.697</v>
      </c>
      <c r="M170" s="301">
        <v>0.3591</v>
      </c>
      <c r="N170" s="301">
        <v>3.7482</v>
      </c>
      <c r="O170" s="301">
        <v>0.1723</v>
      </c>
      <c r="P170" s="301">
        <v>0.5569</v>
      </c>
      <c r="R170" s="301">
        <v>2.5271</v>
      </c>
      <c r="S170" s="301">
        <v>0.5344</v>
      </c>
      <c r="U170" s="301">
        <v>0.4522</v>
      </c>
      <c r="V170" s="301">
        <v>0.5549</v>
      </c>
      <c r="W170" s="301">
        <v>0.9835</v>
      </c>
      <c r="X170" s="301">
        <v>2.1218</v>
      </c>
      <c r="Y170" s="301">
        <v>1.6555</v>
      </c>
      <c r="Z170" s="301">
        <v>1.2018</v>
      </c>
      <c r="AA170" s="301">
        <v>5.8506</v>
      </c>
      <c r="AB170" s="301">
        <v>0.0676</v>
      </c>
      <c r="AC170" s="301">
        <v>0.2306</v>
      </c>
      <c r="AD170" s="301">
        <v>0.4076</v>
      </c>
      <c r="AE170" s="301">
        <v>1.8067</v>
      </c>
      <c r="AF170" s="301">
        <v>0.9637</v>
      </c>
      <c r="AG170" s="301">
        <v>0.0993</v>
      </c>
      <c r="AH170" s="301">
        <v>3.37</v>
      </c>
      <c r="AI170" s="301">
        <v>0.2675</v>
      </c>
      <c r="AJ170" s="301">
        <v>0.4506</v>
      </c>
      <c r="AK170" s="301">
        <v>4.6203</v>
      </c>
      <c r="AL170" s="302">
        <v>167</v>
      </c>
      <c r="AM170" t="s">
        <v>411</v>
      </c>
    </row>
    <row r="171" spans="1:39" ht="12.75">
      <c r="A171" s="441">
        <v>40786</v>
      </c>
      <c r="B171" s="301">
        <v>0.0958</v>
      </c>
      <c r="C171" s="301">
        <v>2.8695</v>
      </c>
      <c r="D171" s="301">
        <v>3.0661</v>
      </c>
      <c r="E171" s="301">
        <v>0.3684</v>
      </c>
      <c r="F171" s="301">
        <v>2.9338</v>
      </c>
      <c r="G171" s="301">
        <v>2.4535</v>
      </c>
      <c r="H171" s="301">
        <v>2.3859</v>
      </c>
      <c r="I171" s="301">
        <v>4.1445</v>
      </c>
      <c r="J171" s="301">
        <v>1.5279</v>
      </c>
      <c r="K171" s="301">
        <v>3.5373</v>
      </c>
      <c r="L171" s="301">
        <v>4.6728</v>
      </c>
      <c r="M171" s="301">
        <v>0.3585</v>
      </c>
      <c r="N171" s="301">
        <v>3.7447</v>
      </c>
      <c r="O171" s="301">
        <v>0.1719</v>
      </c>
      <c r="P171" s="301">
        <v>0.5563</v>
      </c>
      <c r="R171" s="301">
        <v>2.5302</v>
      </c>
      <c r="S171" s="301">
        <v>0.536</v>
      </c>
      <c r="U171" s="301">
        <v>0.4526</v>
      </c>
      <c r="V171" s="301">
        <v>0.5542</v>
      </c>
      <c r="W171" s="301">
        <v>0.9819</v>
      </c>
      <c r="X171" s="301">
        <v>2.1191</v>
      </c>
      <c r="Y171" s="301">
        <v>1.6706</v>
      </c>
      <c r="Z171" s="301">
        <v>1.2003</v>
      </c>
      <c r="AA171" s="301">
        <v>5.8439</v>
      </c>
      <c r="AB171" s="301">
        <v>0.0677</v>
      </c>
      <c r="AC171" s="301">
        <v>0.2303</v>
      </c>
      <c r="AD171" s="301">
        <v>0.4092</v>
      </c>
      <c r="AE171" s="301">
        <v>1.7982</v>
      </c>
      <c r="AF171" s="301">
        <v>0.9618</v>
      </c>
      <c r="AG171" s="301">
        <v>0.0992</v>
      </c>
      <c r="AH171" s="301">
        <v>3.3626</v>
      </c>
      <c r="AI171" s="301">
        <v>0.2694</v>
      </c>
      <c r="AJ171" s="301">
        <v>0.4498</v>
      </c>
      <c r="AK171" s="301">
        <v>4.6284</v>
      </c>
      <c r="AL171" s="302">
        <v>168</v>
      </c>
      <c r="AM171" t="s">
        <v>411</v>
      </c>
    </row>
    <row r="172" spans="1:39" ht="12.75">
      <c r="A172" s="441">
        <v>40787</v>
      </c>
      <c r="B172" s="301">
        <v>0.0967</v>
      </c>
      <c r="C172" s="301">
        <v>2.8996</v>
      </c>
      <c r="D172" s="301">
        <v>3.1049</v>
      </c>
      <c r="E172" s="301">
        <v>0.3723</v>
      </c>
      <c r="F172" s="301">
        <v>2.962</v>
      </c>
      <c r="G172" s="301">
        <v>2.4631</v>
      </c>
      <c r="H172" s="301">
        <v>2.4093</v>
      </c>
      <c r="I172" s="301">
        <v>4.1452</v>
      </c>
      <c r="J172" s="301">
        <v>1.5182</v>
      </c>
      <c r="K172" s="301">
        <v>3.6293</v>
      </c>
      <c r="L172" s="301">
        <v>4.7014</v>
      </c>
      <c r="M172" s="301">
        <v>0.3625</v>
      </c>
      <c r="N172" s="301">
        <v>3.7692</v>
      </c>
      <c r="O172" s="301">
        <v>0.1716</v>
      </c>
      <c r="P172" s="301">
        <v>0.5564</v>
      </c>
      <c r="R172" s="301">
        <v>2.5468</v>
      </c>
      <c r="S172" s="301">
        <v>0.5378</v>
      </c>
      <c r="U172" s="301">
        <v>0.4541</v>
      </c>
      <c r="V172" s="301">
        <v>0.5538</v>
      </c>
      <c r="W172" s="301">
        <v>0.9797</v>
      </c>
      <c r="X172" s="301">
        <v>2.1194</v>
      </c>
      <c r="Y172" s="301">
        <v>1.6879</v>
      </c>
      <c r="Z172" s="301">
        <v>1.2005</v>
      </c>
      <c r="AA172" s="301">
        <v>5.8441</v>
      </c>
      <c r="AB172" s="301">
        <v>0.0684</v>
      </c>
      <c r="AC172" s="301">
        <v>0.2346</v>
      </c>
      <c r="AD172" s="301">
        <v>0.4141</v>
      </c>
      <c r="AE172" s="301">
        <v>1.8248</v>
      </c>
      <c r="AF172" s="301">
        <v>0.9702</v>
      </c>
      <c r="AG172" s="301">
        <v>0.1</v>
      </c>
      <c r="AH172" s="301">
        <v>3.3978</v>
      </c>
      <c r="AI172" s="301">
        <v>0.2729</v>
      </c>
      <c r="AJ172" s="301">
        <v>0.4543</v>
      </c>
      <c r="AK172" s="301">
        <v>4.6167</v>
      </c>
      <c r="AL172" s="302">
        <v>169</v>
      </c>
      <c r="AM172" t="s">
        <v>411</v>
      </c>
    </row>
    <row r="173" spans="1:39" ht="12.75">
      <c r="A173" s="441">
        <v>40788</v>
      </c>
      <c r="B173" s="301">
        <v>0.0979</v>
      </c>
      <c r="C173" s="301">
        <v>2.9277</v>
      </c>
      <c r="D173" s="301">
        <v>3.1284</v>
      </c>
      <c r="E173" s="301">
        <v>0.3759</v>
      </c>
      <c r="F173" s="301">
        <v>2.9933</v>
      </c>
      <c r="G173" s="301">
        <v>2.4884</v>
      </c>
      <c r="H173" s="301">
        <v>2.4311</v>
      </c>
      <c r="I173" s="301">
        <v>4.1687</v>
      </c>
      <c r="J173" s="301">
        <v>1.5155</v>
      </c>
      <c r="K173" s="301">
        <v>3.7466</v>
      </c>
      <c r="L173" s="301">
        <v>4.7431</v>
      </c>
      <c r="M173" s="301">
        <v>0.3658</v>
      </c>
      <c r="N173" s="301">
        <v>3.8116</v>
      </c>
      <c r="O173" s="301">
        <v>0.1718</v>
      </c>
      <c r="P173" s="301">
        <v>0.5595</v>
      </c>
      <c r="R173" s="301">
        <v>2.562</v>
      </c>
      <c r="S173" s="301">
        <v>0.5415</v>
      </c>
      <c r="U173" s="301">
        <v>0.4568</v>
      </c>
      <c r="V173" s="301">
        <v>0.5571</v>
      </c>
      <c r="W173" s="301">
        <v>0.9833</v>
      </c>
      <c r="X173" s="301">
        <v>2.1315</v>
      </c>
      <c r="Y173" s="301">
        <v>1.6815</v>
      </c>
      <c r="Z173" s="301">
        <v>1.2073</v>
      </c>
      <c r="AA173" s="301">
        <v>5.8789</v>
      </c>
      <c r="AB173" s="301">
        <v>0.0695</v>
      </c>
      <c r="AC173" s="301">
        <v>0.2374</v>
      </c>
      <c r="AD173" s="301">
        <v>0.4177</v>
      </c>
      <c r="AE173" s="301">
        <v>1.8073</v>
      </c>
      <c r="AF173" s="301">
        <v>0.988</v>
      </c>
      <c r="AG173" s="301">
        <v>0.1008</v>
      </c>
      <c r="AH173" s="301">
        <v>3.4302</v>
      </c>
      <c r="AI173" s="301">
        <v>0.2755</v>
      </c>
      <c r="AJ173" s="301">
        <v>0.4587</v>
      </c>
      <c r="AK173" s="301">
        <v>4.6723</v>
      </c>
      <c r="AL173" s="302">
        <v>170</v>
      </c>
      <c r="AM173" t="s">
        <v>411</v>
      </c>
    </row>
    <row r="174" spans="1:39" ht="12.75">
      <c r="A174" s="441">
        <v>40791</v>
      </c>
      <c r="B174" s="301">
        <v>0.0994</v>
      </c>
      <c r="C174" s="301">
        <v>2.9748</v>
      </c>
      <c r="D174" s="301">
        <v>3.1447</v>
      </c>
      <c r="E174" s="301">
        <v>0.3819</v>
      </c>
      <c r="F174" s="301">
        <v>3.0126</v>
      </c>
      <c r="G174" s="301">
        <v>2.4989</v>
      </c>
      <c r="H174" s="301">
        <v>2.4654</v>
      </c>
      <c r="I174" s="301">
        <v>4.2055</v>
      </c>
      <c r="J174" s="301">
        <v>1.5169</v>
      </c>
      <c r="K174" s="301">
        <v>3.7865</v>
      </c>
      <c r="L174" s="301">
        <v>4.7959</v>
      </c>
      <c r="M174" s="301">
        <v>0.3716</v>
      </c>
      <c r="N174" s="301">
        <v>3.8726</v>
      </c>
      <c r="O174" s="301">
        <v>0.1721</v>
      </c>
      <c r="P174" s="301">
        <v>0.5646</v>
      </c>
      <c r="R174" s="301">
        <v>2.5847</v>
      </c>
      <c r="S174" s="301">
        <v>0.5495</v>
      </c>
      <c r="U174" s="301">
        <v>0.4623</v>
      </c>
      <c r="V174" s="301">
        <v>0.5613</v>
      </c>
      <c r="W174" s="301">
        <v>0.9912</v>
      </c>
      <c r="X174" s="301">
        <v>2.1503</v>
      </c>
      <c r="Y174" s="301">
        <v>1.6878</v>
      </c>
      <c r="Z174" s="301">
        <v>1.218</v>
      </c>
      <c r="AA174" s="301">
        <v>5.9291</v>
      </c>
      <c r="AB174" s="301">
        <v>0.0703</v>
      </c>
      <c r="AC174" s="301">
        <v>0.2382</v>
      </c>
      <c r="AD174" s="301">
        <v>0.4191</v>
      </c>
      <c r="AE174" s="301">
        <v>1.8121</v>
      </c>
      <c r="AF174" s="301">
        <v>0.9993</v>
      </c>
      <c r="AG174" s="301">
        <v>0.1014</v>
      </c>
      <c r="AH174" s="301">
        <v>3.4824</v>
      </c>
      <c r="AI174" s="301">
        <v>0.2783</v>
      </c>
      <c r="AJ174" s="301">
        <v>0.4658</v>
      </c>
      <c r="AK174" s="301">
        <v>4.7136</v>
      </c>
      <c r="AL174" s="302">
        <v>171</v>
      </c>
      <c r="AM174" t="s">
        <v>411</v>
      </c>
    </row>
    <row r="175" spans="1:39" ht="12.75">
      <c r="A175" s="441">
        <v>40792</v>
      </c>
      <c r="B175" s="301">
        <v>0.0993</v>
      </c>
      <c r="C175" s="301">
        <v>2.9698</v>
      </c>
      <c r="D175" s="301">
        <v>3.1415</v>
      </c>
      <c r="E175" s="301">
        <v>0.3811</v>
      </c>
      <c r="F175" s="301">
        <v>3.0005</v>
      </c>
      <c r="G175" s="301">
        <v>2.4759</v>
      </c>
      <c r="H175" s="301">
        <v>2.4617</v>
      </c>
      <c r="I175" s="301">
        <v>4.2135</v>
      </c>
      <c r="J175" s="301">
        <v>1.5273</v>
      </c>
      <c r="K175" s="301">
        <v>3.5023</v>
      </c>
      <c r="L175" s="301">
        <v>4.7894</v>
      </c>
      <c r="M175" s="301">
        <v>0.3713</v>
      </c>
      <c r="N175" s="301">
        <v>3.8383</v>
      </c>
      <c r="O175" s="301">
        <v>0.1728</v>
      </c>
      <c r="P175" s="301">
        <v>0.5656</v>
      </c>
      <c r="R175" s="301">
        <v>2.5802</v>
      </c>
      <c r="S175" s="301">
        <v>0.5485</v>
      </c>
      <c r="U175" s="301">
        <v>0.4626</v>
      </c>
      <c r="V175" s="301">
        <v>0.5619</v>
      </c>
      <c r="W175" s="301">
        <v>0.9909</v>
      </c>
      <c r="X175" s="301">
        <v>2.1544</v>
      </c>
      <c r="Y175" s="301">
        <v>1.6772</v>
      </c>
      <c r="Z175" s="301">
        <v>1.2203</v>
      </c>
      <c r="AA175" s="301">
        <v>5.9416</v>
      </c>
      <c r="AB175" s="301">
        <v>0.07</v>
      </c>
      <c r="AC175" s="301">
        <v>0.2377</v>
      </c>
      <c r="AD175" s="301">
        <v>0.4192</v>
      </c>
      <c r="AE175" s="301">
        <v>1.8067</v>
      </c>
      <c r="AF175" s="301">
        <v>0.9959</v>
      </c>
      <c r="AG175" s="301">
        <v>0.1007</v>
      </c>
      <c r="AH175" s="301">
        <v>3.4597</v>
      </c>
      <c r="AI175" s="301">
        <v>0.2765</v>
      </c>
      <c r="AJ175" s="301">
        <v>0.4648</v>
      </c>
      <c r="AK175" s="301">
        <v>4.7225</v>
      </c>
      <c r="AL175" s="302">
        <v>172</v>
      </c>
      <c r="AM175" t="s">
        <v>411</v>
      </c>
    </row>
    <row r="176" spans="1:39" ht="12.75">
      <c r="A176" s="441">
        <v>40793</v>
      </c>
      <c r="B176" s="301">
        <v>0.0998</v>
      </c>
      <c r="C176" s="301">
        <v>2.9941</v>
      </c>
      <c r="D176" s="301">
        <v>3.1755</v>
      </c>
      <c r="E176" s="301">
        <v>0.384</v>
      </c>
      <c r="F176" s="301">
        <v>3.0335</v>
      </c>
      <c r="G176" s="301">
        <v>2.4809</v>
      </c>
      <c r="H176" s="301">
        <v>2.4787</v>
      </c>
      <c r="I176" s="301">
        <v>4.2182</v>
      </c>
      <c r="J176" s="301">
        <v>1.5298</v>
      </c>
      <c r="K176" s="301">
        <v>3.4952</v>
      </c>
      <c r="L176" s="301">
        <v>4.7918</v>
      </c>
      <c r="M176" s="301">
        <v>0.3736</v>
      </c>
      <c r="N176" s="301">
        <v>3.8776</v>
      </c>
      <c r="O176" s="301">
        <v>0.1727</v>
      </c>
      <c r="P176" s="301">
        <v>0.5664</v>
      </c>
      <c r="R176" s="301">
        <v>2.5899</v>
      </c>
      <c r="S176" s="301">
        <v>0.5613</v>
      </c>
      <c r="U176" s="301">
        <v>0.4705</v>
      </c>
      <c r="V176" s="301">
        <v>0.5629</v>
      </c>
      <c r="W176" s="301">
        <v>0.9972</v>
      </c>
      <c r="X176" s="301">
        <v>2.1568</v>
      </c>
      <c r="Y176" s="301">
        <v>1.705</v>
      </c>
      <c r="Z176" s="301">
        <v>1.2217</v>
      </c>
      <c r="AA176" s="301">
        <v>5.947</v>
      </c>
      <c r="AB176" s="301">
        <v>0.0708</v>
      </c>
      <c r="AC176" s="301">
        <v>0.24</v>
      </c>
      <c r="AD176" s="301">
        <v>0.421</v>
      </c>
      <c r="AE176" s="301">
        <v>1.8083</v>
      </c>
      <c r="AF176" s="301">
        <v>1.0031</v>
      </c>
      <c r="AG176" s="301">
        <v>0.1015</v>
      </c>
      <c r="AH176" s="301">
        <v>3.4976</v>
      </c>
      <c r="AI176" s="301">
        <v>0.2792</v>
      </c>
      <c r="AJ176" s="301">
        <v>0.4679</v>
      </c>
      <c r="AK176" s="301">
        <v>4.773</v>
      </c>
      <c r="AL176" s="302">
        <v>173</v>
      </c>
      <c r="AM176" t="s">
        <v>411</v>
      </c>
    </row>
    <row r="177" spans="1:39" ht="12.75">
      <c r="A177" s="441">
        <v>40794</v>
      </c>
      <c r="B177" s="301">
        <v>0.0998</v>
      </c>
      <c r="C177" s="301">
        <v>2.9984</v>
      </c>
      <c r="D177" s="301">
        <v>3.1849</v>
      </c>
      <c r="E177" s="301">
        <v>0.3845</v>
      </c>
      <c r="F177" s="301">
        <v>3.0439</v>
      </c>
      <c r="G177" s="301">
        <v>2.5026</v>
      </c>
      <c r="H177" s="301">
        <v>2.4768</v>
      </c>
      <c r="I177" s="301">
        <v>4.2187</v>
      </c>
      <c r="J177" s="301">
        <v>1.5299</v>
      </c>
      <c r="K177" s="301">
        <v>3.4699</v>
      </c>
      <c r="L177" s="301">
        <v>4.7785</v>
      </c>
      <c r="M177" s="301">
        <v>0.3746</v>
      </c>
      <c r="N177" s="301">
        <v>3.8759</v>
      </c>
      <c r="O177" s="301">
        <v>0.1725</v>
      </c>
      <c r="P177" s="301">
        <v>0.5664</v>
      </c>
      <c r="R177" s="301">
        <v>2.5943</v>
      </c>
      <c r="S177" s="301">
        <v>0.5572</v>
      </c>
      <c r="U177" s="301">
        <v>0.4717</v>
      </c>
      <c r="V177" s="301">
        <v>0.5634</v>
      </c>
      <c r="W177" s="301">
        <v>0.9944</v>
      </c>
      <c r="X177" s="301">
        <v>2.157</v>
      </c>
      <c r="Y177" s="301">
        <v>1.6976</v>
      </c>
      <c r="Z177" s="301">
        <v>1.2218</v>
      </c>
      <c r="AA177" s="301">
        <v>5.9477</v>
      </c>
      <c r="AB177" s="301">
        <v>0.0706</v>
      </c>
      <c r="AC177" s="301">
        <v>0.2405</v>
      </c>
      <c r="AD177" s="301">
        <v>0.4205</v>
      </c>
      <c r="AE177" s="301">
        <v>1.8121</v>
      </c>
      <c r="AF177" s="301">
        <v>1.0021</v>
      </c>
      <c r="AG177" s="301">
        <v>0.1016</v>
      </c>
      <c r="AH177" s="301">
        <v>3.4993</v>
      </c>
      <c r="AI177" s="301">
        <v>0.2789</v>
      </c>
      <c r="AJ177" s="301">
        <v>0.4696</v>
      </c>
      <c r="AK177" s="301">
        <v>4.7745</v>
      </c>
      <c r="AL177" s="302">
        <v>174</v>
      </c>
      <c r="AM177" t="s">
        <v>411</v>
      </c>
    </row>
    <row r="178" spans="1:39" ht="12.75">
      <c r="A178" s="441">
        <v>40795</v>
      </c>
      <c r="B178" s="301">
        <v>0.1037</v>
      </c>
      <c r="C178" s="301">
        <v>3.1148</v>
      </c>
      <c r="D178" s="301">
        <v>3.3015</v>
      </c>
      <c r="E178" s="301">
        <v>0.3997</v>
      </c>
      <c r="F178" s="301">
        <v>3.1499</v>
      </c>
      <c r="G178" s="301">
        <v>2.5976</v>
      </c>
      <c r="H178" s="301">
        <v>2.5497</v>
      </c>
      <c r="I178" s="301">
        <v>4.3139</v>
      </c>
      <c r="J178" s="301">
        <v>1.5458</v>
      </c>
      <c r="K178" s="301">
        <v>3.5539</v>
      </c>
      <c r="L178" s="301">
        <v>4.976</v>
      </c>
      <c r="M178" s="301">
        <v>0.3893</v>
      </c>
      <c r="N178" s="301">
        <v>4.0142</v>
      </c>
      <c r="O178" s="301">
        <v>0.1764</v>
      </c>
      <c r="P178" s="301">
        <v>0.5792</v>
      </c>
      <c r="R178" s="301">
        <v>2.6793</v>
      </c>
      <c r="S178" s="301">
        <v>0.5727</v>
      </c>
      <c r="U178" s="301">
        <v>0.4847</v>
      </c>
      <c r="V178" s="301">
        <v>0.5758</v>
      </c>
      <c r="W178" s="301">
        <v>1.0126</v>
      </c>
      <c r="X178" s="301">
        <v>2.2057</v>
      </c>
      <c r="Y178" s="301">
        <v>1.7536</v>
      </c>
      <c r="Z178" s="301">
        <v>1.2494</v>
      </c>
      <c r="AA178" s="301">
        <v>6.0819</v>
      </c>
      <c r="AB178" s="301">
        <v>0.0733</v>
      </c>
      <c r="AC178" s="301">
        <v>0.2485</v>
      </c>
      <c r="AD178" s="301">
        <v>0.4296</v>
      </c>
      <c r="AE178" s="301">
        <v>1.8766</v>
      </c>
      <c r="AF178" s="301">
        <v>1.0379</v>
      </c>
      <c r="AG178" s="301">
        <v>0.1045</v>
      </c>
      <c r="AH178" s="301">
        <v>3.6346</v>
      </c>
      <c r="AI178" s="301">
        <v>0.2891</v>
      </c>
      <c r="AJ178" s="301">
        <v>0.4875</v>
      </c>
      <c r="AK178" s="301">
        <v>4.8788</v>
      </c>
      <c r="AL178" s="302">
        <v>175</v>
      </c>
      <c r="AM178" t="s">
        <v>411</v>
      </c>
    </row>
    <row r="179" spans="1:39" ht="12.75">
      <c r="A179" s="441">
        <v>40798</v>
      </c>
      <c r="B179" s="301">
        <v>0.1053</v>
      </c>
      <c r="C179" s="301">
        <v>3.1781</v>
      </c>
      <c r="D179" s="301">
        <v>3.2751</v>
      </c>
      <c r="E179" s="301">
        <v>0.4073</v>
      </c>
      <c r="F179" s="301">
        <v>3.1806</v>
      </c>
      <c r="G179" s="301">
        <v>2.5949</v>
      </c>
      <c r="H179" s="301">
        <v>2.5774</v>
      </c>
      <c r="I179" s="301">
        <v>4.3212</v>
      </c>
      <c r="J179" s="301">
        <v>1.5301</v>
      </c>
      <c r="K179" s="301">
        <v>3.5846</v>
      </c>
      <c r="L179" s="301">
        <v>5.029</v>
      </c>
      <c r="M179" s="301">
        <v>0.3967</v>
      </c>
      <c r="N179" s="301">
        <v>4.1353</v>
      </c>
      <c r="O179" s="301">
        <v>0.1767</v>
      </c>
      <c r="P179" s="301">
        <v>0.5803</v>
      </c>
      <c r="R179" s="301">
        <v>2.6974</v>
      </c>
      <c r="S179" s="301">
        <v>0.5702</v>
      </c>
      <c r="U179" s="301">
        <v>0.4814</v>
      </c>
      <c r="V179" s="301">
        <v>0.5769</v>
      </c>
      <c r="W179" s="301">
        <v>1.01</v>
      </c>
      <c r="X179" s="301">
        <v>2.2094</v>
      </c>
      <c r="Y179" s="301">
        <v>1.7728</v>
      </c>
      <c r="Z179" s="301">
        <v>1.2515</v>
      </c>
      <c r="AA179" s="301">
        <v>6.0948</v>
      </c>
      <c r="AB179" s="301">
        <v>0.0742</v>
      </c>
      <c r="AC179" s="301">
        <v>0.2474</v>
      </c>
      <c r="AD179" s="301">
        <v>0.4337</v>
      </c>
      <c r="AE179" s="301">
        <v>1.8998</v>
      </c>
      <c r="AF179" s="301">
        <v>1.0492</v>
      </c>
      <c r="AG179" s="301">
        <v>0.105</v>
      </c>
      <c r="AH179" s="301">
        <v>3.6956</v>
      </c>
      <c r="AI179" s="301">
        <v>0.295</v>
      </c>
      <c r="AJ179" s="301">
        <v>0.4975</v>
      </c>
      <c r="AK179" s="301">
        <v>4.931</v>
      </c>
      <c r="AL179" s="302">
        <v>176</v>
      </c>
      <c r="AM179" t="s">
        <v>411</v>
      </c>
    </row>
    <row r="180" spans="1:39" ht="12.75">
      <c r="A180" s="441">
        <v>40799</v>
      </c>
      <c r="B180" s="301">
        <v>0.106</v>
      </c>
      <c r="C180" s="301">
        <v>3.2035</v>
      </c>
      <c r="D180" s="301">
        <v>3.2963</v>
      </c>
      <c r="E180" s="301">
        <v>0.4104</v>
      </c>
      <c r="F180" s="301">
        <v>3.214</v>
      </c>
      <c r="G180" s="301">
        <v>2.6274</v>
      </c>
      <c r="H180" s="301">
        <v>2.5833</v>
      </c>
      <c r="I180" s="301">
        <v>4.3595</v>
      </c>
      <c r="J180" s="301">
        <v>1.5314</v>
      </c>
      <c r="K180" s="301">
        <v>3.6221</v>
      </c>
      <c r="L180" s="301">
        <v>5.0563</v>
      </c>
      <c r="M180" s="301">
        <v>0.4006</v>
      </c>
      <c r="N180" s="301">
        <v>4.1592</v>
      </c>
      <c r="O180" s="301">
        <v>0.1775</v>
      </c>
      <c r="P180" s="301">
        <v>0.5853</v>
      </c>
      <c r="R180" s="301">
        <v>2.7221</v>
      </c>
      <c r="S180" s="301">
        <v>0.5635</v>
      </c>
      <c r="U180" s="301">
        <v>0.4758</v>
      </c>
      <c r="V180" s="301">
        <v>0.5817</v>
      </c>
      <c r="W180" s="301">
        <v>1.0177</v>
      </c>
      <c r="X180" s="301">
        <v>2.229</v>
      </c>
      <c r="Y180" s="301">
        <v>1.7934</v>
      </c>
      <c r="Z180" s="301">
        <v>1.2626</v>
      </c>
      <c r="AA180" s="301">
        <v>6.1462</v>
      </c>
      <c r="AB180" s="301">
        <v>0.0745</v>
      </c>
      <c r="AC180" s="301">
        <v>0.2477</v>
      </c>
      <c r="AD180" s="301">
        <v>0.4328</v>
      </c>
      <c r="AE180" s="301">
        <v>1.8797</v>
      </c>
      <c r="AF180" s="301">
        <v>1.0482</v>
      </c>
      <c r="AG180" s="301">
        <v>0.1057</v>
      </c>
      <c r="AH180" s="301">
        <v>3.7082</v>
      </c>
      <c r="AI180" s="301">
        <v>0.2973</v>
      </c>
      <c r="AJ180" s="301">
        <v>0.5006</v>
      </c>
      <c r="AK180" s="301">
        <v>5.0077</v>
      </c>
      <c r="AL180" s="302">
        <v>177</v>
      </c>
      <c r="AM180" t="s">
        <v>411</v>
      </c>
    </row>
    <row r="181" spans="1:39" ht="12.75">
      <c r="A181" s="441">
        <v>40800</v>
      </c>
      <c r="B181" s="301">
        <v>0.105</v>
      </c>
      <c r="C181" s="301">
        <v>3.1737</v>
      </c>
      <c r="D181" s="301">
        <v>3.2395</v>
      </c>
      <c r="E181" s="301">
        <v>0.4066</v>
      </c>
      <c r="F181" s="301">
        <v>3.1985</v>
      </c>
      <c r="G181" s="301">
        <v>2.5984</v>
      </c>
      <c r="H181" s="301">
        <v>2.5458</v>
      </c>
      <c r="I181" s="301">
        <v>4.3346</v>
      </c>
      <c r="J181" s="301">
        <v>1.5114</v>
      </c>
      <c r="K181" s="301">
        <v>3.6005</v>
      </c>
      <c r="L181" s="301">
        <v>5.005</v>
      </c>
      <c r="M181" s="301">
        <v>0.3965</v>
      </c>
      <c r="N181" s="301">
        <v>4.128</v>
      </c>
      <c r="O181" s="301">
        <v>0.1764</v>
      </c>
      <c r="P181" s="301">
        <v>0.582</v>
      </c>
      <c r="R181" s="301">
        <v>2.7025</v>
      </c>
      <c r="S181" s="301">
        <v>0.5595</v>
      </c>
      <c r="U181" s="301">
        <v>0.4709</v>
      </c>
      <c r="V181" s="301">
        <v>0.5783</v>
      </c>
      <c r="W181" s="301">
        <v>1.0105</v>
      </c>
      <c r="X181" s="301">
        <v>2.2163</v>
      </c>
      <c r="Y181" s="301">
        <v>1.79</v>
      </c>
      <c r="Z181" s="301">
        <v>1.2554</v>
      </c>
      <c r="AA181" s="301">
        <v>6.1111</v>
      </c>
      <c r="AB181" s="301">
        <v>0.0734</v>
      </c>
      <c r="AC181" s="301">
        <v>0.2452</v>
      </c>
      <c r="AD181" s="301">
        <v>0.4291</v>
      </c>
      <c r="AE181" s="301">
        <v>1.8554</v>
      </c>
      <c r="AF181" s="301">
        <v>1.0306</v>
      </c>
      <c r="AG181" s="301">
        <v>0.1046</v>
      </c>
      <c r="AH181" s="301">
        <v>3.6393</v>
      </c>
      <c r="AI181" s="301">
        <v>0.2859</v>
      </c>
      <c r="AJ181" s="301">
        <v>0.4962</v>
      </c>
      <c r="AK181" s="301">
        <v>4.9865</v>
      </c>
      <c r="AL181" s="302">
        <v>178</v>
      </c>
      <c r="AM181" t="s">
        <v>411</v>
      </c>
    </row>
    <row r="182" spans="1:39" ht="12.75">
      <c r="A182" s="441">
        <v>40801</v>
      </c>
      <c r="B182" s="301">
        <v>0.1054</v>
      </c>
      <c r="C182" s="301">
        <v>3.1858</v>
      </c>
      <c r="D182" s="301">
        <v>3.2664</v>
      </c>
      <c r="E182" s="301">
        <v>0.4086</v>
      </c>
      <c r="F182" s="301">
        <v>3.2126</v>
      </c>
      <c r="G182" s="301">
        <v>2.6107</v>
      </c>
      <c r="H182" s="301">
        <v>2.559</v>
      </c>
      <c r="I182" s="301">
        <v>4.3871</v>
      </c>
      <c r="J182" s="301">
        <v>1.5245</v>
      </c>
      <c r="K182" s="301">
        <v>3.6361</v>
      </c>
      <c r="L182" s="301">
        <v>5.0311</v>
      </c>
      <c r="M182" s="301">
        <v>0.398</v>
      </c>
      <c r="N182" s="301">
        <v>4.1527</v>
      </c>
      <c r="O182" s="301">
        <v>0.1786</v>
      </c>
      <c r="P182" s="301">
        <v>0.589</v>
      </c>
      <c r="R182" s="301">
        <v>2.7336</v>
      </c>
      <c r="S182" s="301">
        <v>0.5642</v>
      </c>
      <c r="U182" s="301">
        <v>0.4759</v>
      </c>
      <c r="V182" s="301">
        <v>0.5852</v>
      </c>
      <c r="W182" s="301">
        <v>1.0211</v>
      </c>
      <c r="X182" s="301">
        <v>2.2431</v>
      </c>
      <c r="Y182" s="301">
        <v>1.7864</v>
      </c>
      <c r="Z182" s="301">
        <v>1.2706</v>
      </c>
      <c r="AA182" s="301">
        <v>6.186</v>
      </c>
      <c r="AB182" s="301">
        <v>0.0735</v>
      </c>
      <c r="AC182" s="301">
        <v>0.2465</v>
      </c>
      <c r="AD182" s="301">
        <v>0.4295</v>
      </c>
      <c r="AE182" s="301">
        <v>1.8583</v>
      </c>
      <c r="AF182" s="301">
        <v>1.0298</v>
      </c>
      <c r="AG182" s="301">
        <v>0.1044</v>
      </c>
      <c r="AH182" s="301">
        <v>3.6321</v>
      </c>
      <c r="AI182" s="301">
        <v>0.2859</v>
      </c>
      <c r="AJ182" s="301">
        <v>0.4983</v>
      </c>
      <c r="AK182" s="301">
        <v>5.0264</v>
      </c>
      <c r="AL182" s="302">
        <v>179</v>
      </c>
      <c r="AM182" t="s">
        <v>411</v>
      </c>
    </row>
    <row r="183" spans="1:39" ht="12.75">
      <c r="A183" s="441">
        <v>40802</v>
      </c>
      <c r="B183" s="301">
        <v>0.1037</v>
      </c>
      <c r="C183" s="301">
        <v>3.1506</v>
      </c>
      <c r="D183" s="301">
        <v>3.2581</v>
      </c>
      <c r="E183" s="301">
        <v>0.4044</v>
      </c>
      <c r="F183" s="301">
        <v>3.1964</v>
      </c>
      <c r="G183" s="301">
        <v>2.6077</v>
      </c>
      <c r="H183" s="301">
        <v>2.539</v>
      </c>
      <c r="I183" s="301">
        <v>4.3462</v>
      </c>
      <c r="J183" s="301">
        <v>1.5169</v>
      </c>
      <c r="K183" s="301">
        <v>3.6017</v>
      </c>
      <c r="L183" s="301">
        <v>4.9705</v>
      </c>
      <c r="M183" s="301">
        <v>0.3936</v>
      </c>
      <c r="N183" s="301">
        <v>4.1058</v>
      </c>
      <c r="O183" s="301">
        <v>0.1771</v>
      </c>
      <c r="P183" s="301">
        <v>0.5835</v>
      </c>
      <c r="R183" s="301">
        <v>2.7155</v>
      </c>
      <c r="S183" s="301">
        <v>0.5629</v>
      </c>
      <c r="U183" s="301">
        <v>0.4751</v>
      </c>
      <c r="V183" s="301">
        <v>0.5782</v>
      </c>
      <c r="W183" s="301">
        <v>1.0183</v>
      </c>
      <c r="X183" s="301">
        <v>2.2222</v>
      </c>
      <c r="Y183" s="301">
        <v>1.766</v>
      </c>
      <c r="Z183" s="301">
        <v>1.2587</v>
      </c>
      <c r="AA183" s="301">
        <v>6.1274</v>
      </c>
      <c r="AB183" s="301">
        <v>0.0728</v>
      </c>
      <c r="AC183" s="301">
        <v>0.2429</v>
      </c>
      <c r="AD183" s="301">
        <v>0.424</v>
      </c>
      <c r="AE183" s="301">
        <v>1.8477</v>
      </c>
      <c r="AF183" s="301">
        <v>1.0196</v>
      </c>
      <c r="AG183" s="301">
        <v>0.1032</v>
      </c>
      <c r="AH183" s="301">
        <v>3.5943</v>
      </c>
      <c r="AI183" s="301">
        <v>0.2831</v>
      </c>
      <c r="AJ183" s="301">
        <v>0.4934</v>
      </c>
      <c r="AK183" s="301">
        <v>4.9718</v>
      </c>
      <c r="AL183" s="302">
        <v>180</v>
      </c>
      <c r="AM183" t="s">
        <v>411</v>
      </c>
    </row>
    <row r="184" spans="1:39" ht="12.75">
      <c r="A184" s="441">
        <v>40805</v>
      </c>
      <c r="B184" s="301">
        <v>0.1047</v>
      </c>
      <c r="C184" s="301">
        <v>3.1867</v>
      </c>
      <c r="D184" s="301">
        <v>3.2612</v>
      </c>
      <c r="E184" s="301">
        <v>0.4089</v>
      </c>
      <c r="F184" s="301">
        <v>3.241</v>
      </c>
      <c r="G184" s="301">
        <v>2.6233</v>
      </c>
      <c r="H184" s="301">
        <v>2.5292</v>
      </c>
      <c r="I184" s="301">
        <v>4.3513</v>
      </c>
      <c r="J184" s="301">
        <v>1.5059</v>
      </c>
      <c r="K184" s="301">
        <v>3.6076</v>
      </c>
      <c r="L184" s="301">
        <v>5.0142</v>
      </c>
      <c r="M184" s="301">
        <v>0.3977</v>
      </c>
      <c r="N184" s="301">
        <v>4.1482</v>
      </c>
      <c r="O184" s="301">
        <v>0.1775</v>
      </c>
      <c r="P184" s="301">
        <v>0.5843</v>
      </c>
      <c r="R184" s="301">
        <v>2.7365</v>
      </c>
      <c r="S184" s="301">
        <v>0.5629</v>
      </c>
      <c r="U184" s="301">
        <v>0.4735</v>
      </c>
      <c r="V184" s="301">
        <v>0.5792</v>
      </c>
      <c r="W184" s="301">
        <v>1.0175</v>
      </c>
      <c r="X184" s="301">
        <v>2.2248</v>
      </c>
      <c r="Y184" s="301">
        <v>1.773</v>
      </c>
      <c r="Z184" s="301">
        <v>1.2602</v>
      </c>
      <c r="AA184" s="301">
        <v>6.1346</v>
      </c>
      <c r="AB184" s="301">
        <v>0.0734</v>
      </c>
      <c r="AC184" s="301">
        <v>0.2425</v>
      </c>
      <c r="AD184" s="301">
        <v>0.4195</v>
      </c>
      <c r="AE184" s="301">
        <v>1.8393</v>
      </c>
      <c r="AF184" s="301">
        <v>1.0229</v>
      </c>
      <c r="AG184" s="301">
        <v>0.1031</v>
      </c>
      <c r="AH184" s="301">
        <v>3.6009</v>
      </c>
      <c r="AI184" s="301">
        <v>0.2801</v>
      </c>
      <c r="AJ184" s="301">
        <v>0.4987</v>
      </c>
      <c r="AK184" s="301">
        <v>4.9884</v>
      </c>
      <c r="AL184" s="302">
        <v>181</v>
      </c>
      <c r="AM184" t="s">
        <v>411</v>
      </c>
    </row>
    <row r="185" spans="1:39" ht="12.75">
      <c r="A185" s="441">
        <v>40806</v>
      </c>
      <c r="B185" s="301">
        <v>0.1053</v>
      </c>
      <c r="C185" s="301">
        <v>3.2067</v>
      </c>
      <c r="D185" s="301">
        <v>3.2849</v>
      </c>
      <c r="E185" s="301">
        <v>0.4114</v>
      </c>
      <c r="F185" s="301">
        <v>3.234</v>
      </c>
      <c r="G185" s="301">
        <v>2.634</v>
      </c>
      <c r="H185" s="301">
        <v>2.5384</v>
      </c>
      <c r="I185" s="301">
        <v>4.3811</v>
      </c>
      <c r="J185" s="301">
        <v>1.5037</v>
      </c>
      <c r="K185" s="301">
        <v>3.6323</v>
      </c>
      <c r="L185" s="301">
        <v>5.0282</v>
      </c>
      <c r="M185" s="301">
        <v>0.4004</v>
      </c>
      <c r="N185" s="301">
        <v>4.189</v>
      </c>
      <c r="O185" s="301">
        <v>0.178</v>
      </c>
      <c r="P185" s="301">
        <v>0.5883</v>
      </c>
      <c r="R185" s="301">
        <v>2.7432</v>
      </c>
      <c r="S185" s="301">
        <v>0.5644</v>
      </c>
      <c r="U185" s="301">
        <v>0.4795</v>
      </c>
      <c r="V185" s="301">
        <v>0.5858</v>
      </c>
      <c r="W185" s="301">
        <v>1.0217</v>
      </c>
      <c r="X185" s="301">
        <v>2.2401</v>
      </c>
      <c r="Y185" s="301">
        <v>1.7805</v>
      </c>
      <c r="Z185" s="301">
        <v>1.2688</v>
      </c>
      <c r="AA185" s="301">
        <v>6.1767</v>
      </c>
      <c r="AB185" s="301">
        <v>0.0738</v>
      </c>
      <c r="AC185" s="301">
        <v>0.2431</v>
      </c>
      <c r="AD185" s="301">
        <v>0.4187</v>
      </c>
      <c r="AE185" s="301">
        <v>1.7822</v>
      </c>
      <c r="AF185" s="301">
        <v>1.0269</v>
      </c>
      <c r="AG185" s="301">
        <v>0.1019</v>
      </c>
      <c r="AH185" s="301">
        <v>3.6273</v>
      </c>
      <c r="AI185" s="301">
        <v>0.2796</v>
      </c>
      <c r="AJ185" s="301">
        <v>0.5025</v>
      </c>
      <c r="AK185" s="301">
        <v>5.0433</v>
      </c>
      <c r="AL185" s="302">
        <v>182</v>
      </c>
      <c r="AM185" t="s">
        <v>411</v>
      </c>
    </row>
    <row r="186" spans="1:39" ht="12.75">
      <c r="A186" s="441">
        <v>40807</v>
      </c>
      <c r="B186" s="301">
        <v>0.1056</v>
      </c>
      <c r="C186" s="301">
        <v>3.2123</v>
      </c>
      <c r="D186" s="301">
        <v>3.2899</v>
      </c>
      <c r="E186" s="301">
        <v>0.4122</v>
      </c>
      <c r="F186" s="301">
        <v>3.2289</v>
      </c>
      <c r="G186" s="301">
        <v>2.6381</v>
      </c>
      <c r="H186" s="301">
        <v>2.5351</v>
      </c>
      <c r="I186" s="301">
        <v>4.3925</v>
      </c>
      <c r="J186" s="301">
        <v>1.5115</v>
      </c>
      <c r="K186" s="301">
        <v>3.5944</v>
      </c>
      <c r="L186" s="301">
        <v>5.0252</v>
      </c>
      <c r="M186" s="301">
        <v>0.4013</v>
      </c>
      <c r="N186" s="301">
        <v>4.2056</v>
      </c>
      <c r="O186" s="301">
        <v>0.1765</v>
      </c>
      <c r="P186" s="301">
        <v>0.5898</v>
      </c>
      <c r="R186" s="301">
        <v>2.7497</v>
      </c>
      <c r="S186" s="301">
        <v>0.5672</v>
      </c>
      <c r="U186" s="301">
        <v>0.4839</v>
      </c>
      <c r="V186" s="301">
        <v>0.5863</v>
      </c>
      <c r="W186" s="301">
        <v>1.0231</v>
      </c>
      <c r="X186" s="301">
        <v>2.2459</v>
      </c>
      <c r="Y186" s="301">
        <v>1.7911</v>
      </c>
      <c r="Z186" s="301">
        <v>1.2721</v>
      </c>
      <c r="AA186" s="301">
        <v>6.1936</v>
      </c>
      <c r="AB186" s="301">
        <v>0.0737</v>
      </c>
      <c r="AC186" s="301">
        <v>0.2409</v>
      </c>
      <c r="AD186" s="301">
        <v>0.4124</v>
      </c>
      <c r="AE186" s="301">
        <v>1.7985</v>
      </c>
      <c r="AF186" s="301">
        <v>1.0278</v>
      </c>
      <c r="AG186" s="301">
        <v>0.1021</v>
      </c>
      <c r="AH186" s="301">
        <v>3.6202</v>
      </c>
      <c r="AI186" s="301">
        <v>0.2786</v>
      </c>
      <c r="AJ186" s="301">
        <v>0.5032</v>
      </c>
      <c r="AK186" s="301">
        <v>5.035</v>
      </c>
      <c r="AL186" s="302">
        <v>183</v>
      </c>
      <c r="AM186" t="s">
        <v>411</v>
      </c>
    </row>
    <row r="187" spans="1:39" ht="12.75">
      <c r="A187" s="441">
        <v>40808</v>
      </c>
      <c r="B187" s="301">
        <v>0.1072</v>
      </c>
      <c r="C187" s="301">
        <v>3.2917</v>
      </c>
      <c r="D187" s="301">
        <v>3.2706</v>
      </c>
      <c r="E187" s="301">
        <v>0.4219</v>
      </c>
      <c r="F187" s="301">
        <v>3.2306</v>
      </c>
      <c r="G187" s="301">
        <v>2.603</v>
      </c>
      <c r="H187" s="301">
        <v>2.5509</v>
      </c>
      <c r="I187" s="301">
        <v>4.451</v>
      </c>
      <c r="J187" s="301">
        <v>1.5238</v>
      </c>
      <c r="K187" s="301">
        <v>3.6191</v>
      </c>
      <c r="L187" s="301">
        <v>5.0854</v>
      </c>
      <c r="M187" s="301">
        <v>0.4109</v>
      </c>
      <c r="N187" s="301">
        <v>4.3119</v>
      </c>
      <c r="O187" s="301">
        <v>0.1792</v>
      </c>
      <c r="P187" s="301">
        <v>0.5978</v>
      </c>
      <c r="R187" s="301">
        <v>2.7862</v>
      </c>
      <c r="S187" s="301">
        <v>0.5709</v>
      </c>
      <c r="U187" s="301">
        <v>0.4825</v>
      </c>
      <c r="V187" s="301">
        <v>0.5942</v>
      </c>
      <c r="W187" s="301">
        <v>1.0346</v>
      </c>
      <c r="X187" s="301">
        <v>2.2758</v>
      </c>
      <c r="Y187" s="301">
        <v>1.7976</v>
      </c>
      <c r="Z187" s="301">
        <v>1.2891</v>
      </c>
      <c r="AA187" s="301">
        <v>6.2761</v>
      </c>
      <c r="AB187" s="301">
        <v>0.0752</v>
      </c>
      <c r="AC187" s="301">
        <v>0.2391</v>
      </c>
      <c r="AD187" s="301">
        <v>0.403</v>
      </c>
      <c r="AE187" s="301">
        <v>1.7579</v>
      </c>
      <c r="AF187" s="301">
        <v>1.0453</v>
      </c>
      <c r="AG187" s="301">
        <v>0.103</v>
      </c>
      <c r="AH187" s="301">
        <v>3.756</v>
      </c>
      <c r="AI187" s="301">
        <v>0.279</v>
      </c>
      <c r="AJ187" s="301">
        <v>0.5153</v>
      </c>
      <c r="AK187" s="301">
        <v>5.1258</v>
      </c>
      <c r="AL187" s="302">
        <v>184</v>
      </c>
      <c r="AM187" t="s">
        <v>411</v>
      </c>
    </row>
    <row r="188" spans="1:39" ht="12.75">
      <c r="A188" s="441">
        <v>40809</v>
      </c>
      <c r="B188" s="301">
        <v>0.1076</v>
      </c>
      <c r="C188" s="301">
        <v>3.3171</v>
      </c>
      <c r="D188" s="301">
        <v>3.2606</v>
      </c>
      <c r="E188" s="301">
        <v>0.4254</v>
      </c>
      <c r="F188" s="301">
        <v>3.232</v>
      </c>
      <c r="G188" s="301">
        <v>2.6003</v>
      </c>
      <c r="H188" s="301">
        <v>2.5619</v>
      </c>
      <c r="I188" s="301">
        <v>4.49</v>
      </c>
      <c r="J188" s="301">
        <v>1.5547</v>
      </c>
      <c r="K188" s="301">
        <v>3.6745</v>
      </c>
      <c r="L188" s="301">
        <v>5.1244</v>
      </c>
      <c r="M188" s="301">
        <v>0.4138</v>
      </c>
      <c r="N188" s="301">
        <v>4.3497</v>
      </c>
      <c r="O188" s="301">
        <v>0.181</v>
      </c>
      <c r="P188" s="301">
        <v>0.6033</v>
      </c>
      <c r="R188" s="301">
        <v>2.815</v>
      </c>
      <c r="S188" s="301">
        <v>0.5711</v>
      </c>
      <c r="U188" s="301">
        <v>0.4845</v>
      </c>
      <c r="V188" s="301">
        <v>0.5998</v>
      </c>
      <c r="W188" s="301">
        <v>1.0425</v>
      </c>
      <c r="X188" s="301">
        <v>2.2957</v>
      </c>
      <c r="Y188" s="301">
        <v>1.8122</v>
      </c>
      <c r="Z188" s="301">
        <v>1.3004</v>
      </c>
      <c r="AA188" s="301">
        <v>6.3302</v>
      </c>
      <c r="AB188" s="301">
        <v>0.0761</v>
      </c>
      <c r="AC188" s="301">
        <v>0.2392</v>
      </c>
      <c r="AD188" s="301">
        <v>0.401</v>
      </c>
      <c r="AE188" s="301">
        <v>1.741</v>
      </c>
      <c r="AF188" s="301">
        <v>1.0472</v>
      </c>
      <c r="AG188" s="301">
        <v>0.1036</v>
      </c>
      <c r="AH188" s="301">
        <v>3.8362</v>
      </c>
      <c r="AI188" s="301">
        <v>0.2845</v>
      </c>
      <c r="AJ188" s="301">
        <v>0.5191</v>
      </c>
      <c r="AK188" s="301">
        <v>5.2011</v>
      </c>
      <c r="AL188" s="302">
        <v>185</v>
      </c>
      <c r="AM188" t="s">
        <v>411</v>
      </c>
    </row>
    <row r="189" spans="1:39" ht="12.75">
      <c r="A189" s="441">
        <v>40812</v>
      </c>
      <c r="B189" s="301">
        <v>0.1053</v>
      </c>
      <c r="C189" s="301">
        <v>3.2766</v>
      </c>
      <c r="D189" s="301">
        <v>3.1924</v>
      </c>
      <c r="E189" s="301">
        <v>0.4204</v>
      </c>
      <c r="F189" s="301">
        <v>3.1822</v>
      </c>
      <c r="G189" s="301">
        <v>2.5381</v>
      </c>
      <c r="H189" s="301">
        <v>2.5152</v>
      </c>
      <c r="I189" s="301">
        <v>4.4113</v>
      </c>
      <c r="J189" s="301">
        <v>1.5227</v>
      </c>
      <c r="K189" s="301">
        <v>3.6095</v>
      </c>
      <c r="L189" s="301">
        <v>5.078</v>
      </c>
      <c r="M189" s="301">
        <v>0.4095</v>
      </c>
      <c r="N189" s="301">
        <v>4.2839</v>
      </c>
      <c r="O189" s="301">
        <v>0.1782</v>
      </c>
      <c r="P189" s="301">
        <v>0.5927</v>
      </c>
      <c r="R189" s="301">
        <v>2.7708</v>
      </c>
      <c r="S189" s="301">
        <v>0.5633</v>
      </c>
      <c r="U189" s="301">
        <v>0.4781</v>
      </c>
      <c r="V189" s="301">
        <v>0.5887</v>
      </c>
      <c r="W189" s="301">
        <v>1.0267</v>
      </c>
      <c r="X189" s="301">
        <v>2.2555</v>
      </c>
      <c r="Y189" s="301">
        <v>1.7738</v>
      </c>
      <c r="Z189" s="301">
        <v>1.2776</v>
      </c>
      <c r="AA189" s="301">
        <v>6.2192</v>
      </c>
      <c r="AB189" s="301">
        <v>0.0747</v>
      </c>
      <c r="AC189" s="301">
        <v>0.2424</v>
      </c>
      <c r="AD189" s="301">
        <v>0.4031</v>
      </c>
      <c r="AE189" s="301">
        <v>1.7872</v>
      </c>
      <c r="AF189" s="301">
        <v>1.0302</v>
      </c>
      <c r="AG189" s="301">
        <v>0.1011</v>
      </c>
      <c r="AH189" s="301">
        <v>3.6164</v>
      </c>
      <c r="AI189" s="301">
        <v>0.2748</v>
      </c>
      <c r="AJ189" s="301">
        <v>0.5122</v>
      </c>
      <c r="AK189" s="301">
        <v>5.1214</v>
      </c>
      <c r="AL189" s="302">
        <v>186</v>
      </c>
      <c r="AM189" t="s">
        <v>411</v>
      </c>
    </row>
    <row r="190" spans="1:39" ht="12.75">
      <c r="A190" s="441">
        <v>40813</v>
      </c>
      <c r="B190" s="301">
        <v>0.1053</v>
      </c>
      <c r="C190" s="301">
        <v>3.2563</v>
      </c>
      <c r="D190" s="301">
        <v>3.2165</v>
      </c>
      <c r="E190" s="301">
        <v>0.4177</v>
      </c>
      <c r="F190" s="301">
        <v>3.169</v>
      </c>
      <c r="G190" s="301">
        <v>2.56</v>
      </c>
      <c r="H190" s="301">
        <v>2.5286</v>
      </c>
      <c r="I190" s="301">
        <v>4.3915</v>
      </c>
      <c r="J190" s="301">
        <v>1.5223</v>
      </c>
      <c r="K190" s="301">
        <v>3.5971</v>
      </c>
      <c r="L190" s="301">
        <v>5.0608</v>
      </c>
      <c r="M190" s="301">
        <v>0.406</v>
      </c>
      <c r="N190" s="301">
        <v>4.2582</v>
      </c>
      <c r="O190" s="301">
        <v>0.1784</v>
      </c>
      <c r="P190" s="301">
        <v>0.59</v>
      </c>
      <c r="R190" s="301">
        <v>2.7489</v>
      </c>
      <c r="S190" s="301">
        <v>0.5626</v>
      </c>
      <c r="U190" s="301">
        <v>0.4764</v>
      </c>
      <c r="V190" s="301">
        <v>0.5859</v>
      </c>
      <c r="W190" s="301">
        <v>1.0186</v>
      </c>
      <c r="X190" s="301">
        <v>2.2454</v>
      </c>
      <c r="Y190" s="301">
        <v>1.7541</v>
      </c>
      <c r="Z190" s="301">
        <v>1.2718</v>
      </c>
      <c r="AA190" s="301">
        <v>6.1887</v>
      </c>
      <c r="AB190" s="301">
        <v>0.0751</v>
      </c>
      <c r="AC190" s="301">
        <v>0.242</v>
      </c>
      <c r="AD190" s="301">
        <v>0.4091</v>
      </c>
      <c r="AE190" s="301">
        <v>1.7854</v>
      </c>
      <c r="AF190" s="301">
        <v>1.035</v>
      </c>
      <c r="AG190" s="301">
        <v>0.1009</v>
      </c>
      <c r="AH190" s="301">
        <v>3.6558</v>
      </c>
      <c r="AI190" s="301">
        <v>0.2768</v>
      </c>
      <c r="AJ190" s="301">
        <v>0.5088</v>
      </c>
      <c r="AK190" s="301">
        <v>5.0785</v>
      </c>
      <c r="AL190" s="302">
        <v>187</v>
      </c>
      <c r="AM190" t="s">
        <v>411</v>
      </c>
    </row>
    <row r="191" spans="1:39" ht="12.75">
      <c r="A191" s="441">
        <v>40814</v>
      </c>
      <c r="B191" s="301">
        <v>0.1047</v>
      </c>
      <c r="C191" s="301">
        <v>3.2463</v>
      </c>
      <c r="D191" s="301">
        <v>3.2125</v>
      </c>
      <c r="E191" s="301">
        <v>0.4163</v>
      </c>
      <c r="F191" s="301">
        <v>3.1688</v>
      </c>
      <c r="G191" s="301">
        <v>2.5514</v>
      </c>
      <c r="H191" s="301">
        <v>2.5208</v>
      </c>
      <c r="I191" s="301">
        <v>4.418</v>
      </c>
      <c r="J191" s="301">
        <v>1.534</v>
      </c>
      <c r="K191" s="301">
        <v>3.6173</v>
      </c>
      <c r="L191" s="301">
        <v>5.0732</v>
      </c>
      <c r="M191" s="301">
        <v>0.4049</v>
      </c>
      <c r="N191" s="301">
        <v>4.2446</v>
      </c>
      <c r="O191" s="301">
        <v>0.18</v>
      </c>
      <c r="P191" s="301">
        <v>0.5937</v>
      </c>
      <c r="R191" s="301">
        <v>2.7577</v>
      </c>
      <c r="S191" s="301">
        <v>0.5654</v>
      </c>
      <c r="U191" s="301">
        <v>0.4811</v>
      </c>
      <c r="V191" s="301">
        <v>0.5896</v>
      </c>
      <c r="W191" s="301">
        <v>1.0234</v>
      </c>
      <c r="X191" s="301">
        <v>2.2589</v>
      </c>
      <c r="Y191" s="301">
        <v>1.7553</v>
      </c>
      <c r="Z191" s="301">
        <v>1.2795</v>
      </c>
      <c r="AA191" s="301">
        <v>6.2287</v>
      </c>
      <c r="AB191" s="301">
        <v>0.0747</v>
      </c>
      <c r="AC191" s="301">
        <v>0.2425</v>
      </c>
      <c r="AD191" s="301">
        <v>0.4127</v>
      </c>
      <c r="AE191" s="301">
        <v>1.7988</v>
      </c>
      <c r="AF191" s="301">
        <v>1.0239</v>
      </c>
      <c r="AG191" s="301">
        <v>0.1019</v>
      </c>
      <c r="AH191" s="301">
        <v>3.6506</v>
      </c>
      <c r="AI191" s="301">
        <v>0.2776</v>
      </c>
      <c r="AJ191" s="301">
        <v>0.5077</v>
      </c>
      <c r="AK191" s="301">
        <v>5.0873</v>
      </c>
      <c r="AL191" s="302">
        <v>188</v>
      </c>
      <c r="AM191" t="s">
        <v>411</v>
      </c>
    </row>
    <row r="192" spans="1:39" ht="12.75">
      <c r="A192" s="441">
        <v>40815</v>
      </c>
      <c r="B192" s="301">
        <v>0.1041</v>
      </c>
      <c r="C192" s="301">
        <v>3.2451</v>
      </c>
      <c r="D192" s="301">
        <v>3.1977</v>
      </c>
      <c r="E192" s="301">
        <v>0.4164</v>
      </c>
      <c r="F192" s="301">
        <v>3.1511</v>
      </c>
      <c r="G192" s="301">
        <v>2.537</v>
      </c>
      <c r="H192" s="301">
        <v>2.5102</v>
      </c>
      <c r="I192" s="301">
        <v>4.4293</v>
      </c>
      <c r="J192" s="301">
        <v>1.5227</v>
      </c>
      <c r="K192" s="301">
        <v>3.6298</v>
      </c>
      <c r="L192" s="301">
        <v>5.0873</v>
      </c>
      <c r="M192" s="301">
        <v>0.4049</v>
      </c>
      <c r="N192" s="301">
        <v>4.2453</v>
      </c>
      <c r="O192" s="301">
        <v>0.1807</v>
      </c>
      <c r="P192" s="301">
        <v>0.5952</v>
      </c>
      <c r="R192" s="301">
        <v>2.7631</v>
      </c>
      <c r="S192" s="301">
        <v>0.5652</v>
      </c>
      <c r="U192" s="301">
        <v>0.4811</v>
      </c>
      <c r="V192" s="301">
        <v>0.5909</v>
      </c>
      <c r="W192" s="301">
        <v>1.0261</v>
      </c>
      <c r="X192" s="301">
        <v>2.2647</v>
      </c>
      <c r="Y192" s="301">
        <v>1.7528</v>
      </c>
      <c r="Z192" s="301">
        <v>1.2828</v>
      </c>
      <c r="AA192" s="301">
        <v>6.2411</v>
      </c>
      <c r="AB192" s="301">
        <v>0.0744</v>
      </c>
      <c r="AC192" s="301">
        <v>0.2407</v>
      </c>
      <c r="AD192" s="301">
        <v>0.4121</v>
      </c>
      <c r="AE192" s="301">
        <v>1.7659</v>
      </c>
      <c r="AF192" s="301">
        <v>1.021</v>
      </c>
      <c r="AG192" s="301">
        <v>0.1018</v>
      </c>
      <c r="AH192" s="301">
        <v>3.656</v>
      </c>
      <c r="AI192" s="301">
        <v>0.2767</v>
      </c>
      <c r="AJ192" s="301">
        <v>0.5073</v>
      </c>
      <c r="AK192" s="301">
        <v>5.1041</v>
      </c>
      <c r="AL192" s="302">
        <v>189</v>
      </c>
      <c r="AM192" t="s">
        <v>411</v>
      </c>
    </row>
    <row r="193" spans="1:39" ht="12.75">
      <c r="A193" s="441">
        <v>40816</v>
      </c>
      <c r="B193" s="301">
        <v>0.1048</v>
      </c>
      <c r="C193" s="301">
        <v>3.2574</v>
      </c>
      <c r="D193" s="301">
        <v>3.1739</v>
      </c>
      <c r="E193" s="301">
        <v>0.4183</v>
      </c>
      <c r="F193" s="301">
        <v>3.125</v>
      </c>
      <c r="G193" s="301">
        <v>2.4883</v>
      </c>
      <c r="H193" s="301">
        <v>2.5125</v>
      </c>
      <c r="I193" s="301">
        <v>4.4112</v>
      </c>
      <c r="J193" s="301">
        <v>1.5097</v>
      </c>
      <c r="K193" s="301">
        <v>3.6165</v>
      </c>
      <c r="L193" s="301">
        <v>5.0832</v>
      </c>
      <c r="M193" s="301">
        <v>0.4076</v>
      </c>
      <c r="N193" s="301">
        <v>4.2385</v>
      </c>
      <c r="O193" s="301">
        <v>0.1791</v>
      </c>
      <c r="P193" s="301">
        <v>0.5928</v>
      </c>
      <c r="R193" s="301">
        <v>2.7662</v>
      </c>
      <c r="S193" s="301">
        <v>0.5589</v>
      </c>
      <c r="U193" s="301">
        <v>0.4763</v>
      </c>
      <c r="V193" s="301">
        <v>0.5885</v>
      </c>
      <c r="W193" s="301">
        <v>1.0144</v>
      </c>
      <c r="X193" s="301">
        <v>2.2554</v>
      </c>
      <c r="Y193" s="301">
        <v>1.7547</v>
      </c>
      <c r="Z193" s="301">
        <v>1.2775</v>
      </c>
      <c r="AA193" s="301">
        <v>6.2147</v>
      </c>
      <c r="AB193" s="301">
        <v>0.0745</v>
      </c>
      <c r="AC193" s="301">
        <v>0.2379</v>
      </c>
      <c r="AD193" s="301">
        <v>0.4057</v>
      </c>
      <c r="AE193" s="301">
        <v>1.771</v>
      </c>
      <c r="AF193" s="301">
        <v>1.0217</v>
      </c>
      <c r="AG193" s="301">
        <v>0.1015</v>
      </c>
      <c r="AH193" s="301">
        <v>3.6091</v>
      </c>
      <c r="AI193" s="301">
        <v>0.2759</v>
      </c>
      <c r="AJ193" s="301">
        <v>0.5105</v>
      </c>
      <c r="AK193" s="301">
        <v>5.0778</v>
      </c>
      <c r="AL193" s="302">
        <v>190</v>
      </c>
      <c r="AM193" t="s">
        <v>411</v>
      </c>
    </row>
    <row r="194" spans="1:39" ht="12.75">
      <c r="A194" s="441">
        <v>40819</v>
      </c>
      <c r="B194" s="301">
        <v>0.1065</v>
      </c>
      <c r="C194" s="301">
        <v>3.3265</v>
      </c>
      <c r="D194" s="301">
        <v>3.201</v>
      </c>
      <c r="E194" s="301">
        <v>0.4273</v>
      </c>
      <c r="F194" s="301">
        <v>3.1709</v>
      </c>
      <c r="G194" s="301">
        <v>2.529</v>
      </c>
      <c r="H194" s="301">
        <v>2.5362</v>
      </c>
      <c r="I194" s="301">
        <v>4.437</v>
      </c>
      <c r="J194" s="301">
        <v>1.5042</v>
      </c>
      <c r="K194" s="301">
        <v>3.6511</v>
      </c>
      <c r="L194" s="301">
        <v>5.1629</v>
      </c>
      <c r="M194" s="301">
        <v>0.4152</v>
      </c>
      <c r="N194" s="301">
        <v>4.3315</v>
      </c>
      <c r="O194" s="301">
        <v>0.1785</v>
      </c>
      <c r="P194" s="301">
        <v>0.5963</v>
      </c>
      <c r="R194" s="301">
        <v>2.7994</v>
      </c>
      <c r="S194" s="301">
        <v>0.5649</v>
      </c>
      <c r="U194" s="301">
        <v>0.4822</v>
      </c>
      <c r="V194" s="301">
        <v>0.5916</v>
      </c>
      <c r="W194" s="301">
        <v>1.0261</v>
      </c>
      <c r="X194" s="301">
        <v>2.2686</v>
      </c>
      <c r="Y194" s="301">
        <v>1.7813</v>
      </c>
      <c r="Z194" s="301">
        <v>1.285</v>
      </c>
      <c r="AA194" s="301">
        <v>6.2563</v>
      </c>
      <c r="AB194" s="301">
        <v>0.0757</v>
      </c>
      <c r="AC194" s="301">
        <v>0.24</v>
      </c>
      <c r="AD194" s="301">
        <v>0.4096</v>
      </c>
      <c r="AE194" s="301">
        <v>1.7719</v>
      </c>
      <c r="AF194" s="301">
        <v>1.0383</v>
      </c>
      <c r="AG194" s="301">
        <v>0.1024</v>
      </c>
      <c r="AH194" s="301">
        <v>3.696</v>
      </c>
      <c r="AI194" s="301">
        <v>0.2817</v>
      </c>
      <c r="AJ194" s="301">
        <v>0.522</v>
      </c>
      <c r="AK194" s="301">
        <v>5.1314</v>
      </c>
      <c r="AL194" s="302">
        <v>191</v>
      </c>
      <c r="AM194" t="s">
        <v>411</v>
      </c>
    </row>
    <row r="195" spans="1:39" ht="12.75">
      <c r="A195" s="441">
        <v>40820</v>
      </c>
      <c r="B195" s="301">
        <v>0.107</v>
      </c>
      <c r="C195" s="301">
        <v>3.3337</v>
      </c>
      <c r="D195" s="301">
        <v>3.1509</v>
      </c>
      <c r="E195" s="301">
        <v>0.428</v>
      </c>
      <c r="F195" s="301">
        <v>3.1586</v>
      </c>
      <c r="G195" s="301">
        <v>2.5122</v>
      </c>
      <c r="H195" s="301">
        <v>2.5384</v>
      </c>
      <c r="I195" s="301">
        <v>4.3957</v>
      </c>
      <c r="J195" s="301">
        <v>1.4749</v>
      </c>
      <c r="K195" s="301">
        <v>3.618</v>
      </c>
      <c r="L195" s="301">
        <v>5.1343</v>
      </c>
      <c r="M195" s="301">
        <v>0.4162</v>
      </c>
      <c r="N195" s="301">
        <v>4.3481</v>
      </c>
      <c r="O195" s="301">
        <v>0.1766</v>
      </c>
      <c r="P195" s="301">
        <v>0.5907</v>
      </c>
      <c r="R195" s="301">
        <v>2.7874</v>
      </c>
      <c r="S195" s="301">
        <v>0.5619</v>
      </c>
      <c r="U195" s="301">
        <v>0.4809</v>
      </c>
      <c r="V195" s="301">
        <v>0.5855</v>
      </c>
      <c r="W195" s="301">
        <v>1.019</v>
      </c>
      <c r="X195" s="301">
        <v>2.2475</v>
      </c>
      <c r="Y195" s="301">
        <v>1.7584</v>
      </c>
      <c r="Z195" s="301">
        <v>1.273</v>
      </c>
      <c r="AA195" s="301">
        <v>6.199</v>
      </c>
      <c r="AB195" s="301">
        <v>0.0756</v>
      </c>
      <c r="AC195" s="301">
        <v>0.2381</v>
      </c>
      <c r="AD195" s="301">
        <v>0.4038</v>
      </c>
      <c r="AE195" s="301">
        <v>1.7614</v>
      </c>
      <c r="AF195" s="301">
        <v>1.0406</v>
      </c>
      <c r="AG195" s="301">
        <v>0.1017</v>
      </c>
      <c r="AH195" s="301">
        <v>3.6908</v>
      </c>
      <c r="AI195" s="301">
        <v>0.2793</v>
      </c>
      <c r="AJ195" s="301">
        <v>0.5228</v>
      </c>
      <c r="AK195" s="301">
        <v>5.1288</v>
      </c>
      <c r="AL195" s="302">
        <v>192</v>
      </c>
      <c r="AM195" t="s">
        <v>411</v>
      </c>
    </row>
    <row r="196" spans="1:39" ht="12.75">
      <c r="A196" s="441">
        <v>40821</v>
      </c>
      <c r="B196" s="301">
        <v>0.1061</v>
      </c>
      <c r="C196" s="301">
        <v>3.2966</v>
      </c>
      <c r="D196" s="301">
        <v>3.1568</v>
      </c>
      <c r="E196" s="301">
        <v>0.4236</v>
      </c>
      <c r="F196" s="301">
        <v>3.1316</v>
      </c>
      <c r="G196" s="301">
        <v>2.5125</v>
      </c>
      <c r="H196" s="301">
        <v>2.523</v>
      </c>
      <c r="I196" s="301">
        <v>4.3918</v>
      </c>
      <c r="J196" s="301">
        <v>1.4698</v>
      </c>
      <c r="K196" s="301">
        <v>3.5794</v>
      </c>
      <c r="L196" s="301">
        <v>5.0984</v>
      </c>
      <c r="M196" s="301">
        <v>0.4117</v>
      </c>
      <c r="N196" s="301">
        <v>4.2983</v>
      </c>
      <c r="O196" s="301">
        <v>0.1769</v>
      </c>
      <c r="P196" s="301">
        <v>0.59</v>
      </c>
      <c r="R196" s="301">
        <v>2.777</v>
      </c>
      <c r="S196" s="301">
        <v>0.5616</v>
      </c>
      <c r="U196" s="301">
        <v>0.482</v>
      </c>
      <c r="V196" s="301">
        <v>0.5848</v>
      </c>
      <c r="W196" s="301">
        <v>1.0188</v>
      </c>
      <c r="X196" s="301">
        <v>2.2455</v>
      </c>
      <c r="Y196" s="301">
        <v>1.7619</v>
      </c>
      <c r="Z196" s="301">
        <v>1.2719</v>
      </c>
      <c r="AA196" s="301">
        <v>6.1952</v>
      </c>
      <c r="AB196" s="301">
        <v>0.0752</v>
      </c>
      <c r="AC196" s="301">
        <v>0.2393</v>
      </c>
      <c r="AD196" s="301">
        <v>0.4072</v>
      </c>
      <c r="AE196" s="301">
        <v>1.7767</v>
      </c>
      <c r="AF196" s="301">
        <v>1.033</v>
      </c>
      <c r="AG196" s="301">
        <v>0.1009</v>
      </c>
      <c r="AH196" s="301">
        <v>3.6598</v>
      </c>
      <c r="AI196" s="301">
        <v>0.2762</v>
      </c>
      <c r="AJ196" s="301">
        <v>0.5171</v>
      </c>
      <c r="AK196" s="301">
        <v>5.1515</v>
      </c>
      <c r="AL196" s="302">
        <v>193</v>
      </c>
      <c r="AM196" t="s">
        <v>411</v>
      </c>
    </row>
    <row r="197" spans="1:39" ht="12.75">
      <c r="A197" s="441">
        <v>40822</v>
      </c>
      <c r="B197" s="301">
        <v>0.1053</v>
      </c>
      <c r="C197" s="301">
        <v>3.2731</v>
      </c>
      <c r="D197" s="301">
        <v>3.1872</v>
      </c>
      <c r="E197" s="301">
        <v>0.4203</v>
      </c>
      <c r="F197" s="301">
        <v>3.1514</v>
      </c>
      <c r="G197" s="301">
        <v>2.5251</v>
      </c>
      <c r="H197" s="301">
        <v>2.5174</v>
      </c>
      <c r="I197" s="301">
        <v>4.3765</v>
      </c>
      <c r="J197" s="301">
        <v>1.4816</v>
      </c>
      <c r="K197" s="301">
        <v>3.5421</v>
      </c>
      <c r="L197" s="301">
        <v>5.0674</v>
      </c>
      <c r="M197" s="301">
        <v>0.4086</v>
      </c>
      <c r="N197" s="301">
        <v>4.2662</v>
      </c>
      <c r="O197" s="301">
        <v>0.1773</v>
      </c>
      <c r="P197" s="301">
        <v>0.588</v>
      </c>
      <c r="R197" s="301">
        <v>2.7583</v>
      </c>
      <c r="S197" s="301">
        <v>0.5588</v>
      </c>
      <c r="U197" s="301">
        <v>0.479</v>
      </c>
      <c r="V197" s="301">
        <v>0.584</v>
      </c>
      <c r="W197" s="301">
        <v>1.0148</v>
      </c>
      <c r="X197" s="301">
        <v>2.2377</v>
      </c>
      <c r="Y197" s="301">
        <v>1.7776</v>
      </c>
      <c r="Z197" s="301">
        <v>1.2675</v>
      </c>
      <c r="AA197" s="301">
        <v>6.1736</v>
      </c>
      <c r="AB197" s="301">
        <v>0.0749</v>
      </c>
      <c r="AC197" s="301">
        <v>0.242</v>
      </c>
      <c r="AD197" s="301">
        <v>0.4108</v>
      </c>
      <c r="AE197" s="301">
        <v>1.7864</v>
      </c>
      <c r="AF197" s="301">
        <v>1.03</v>
      </c>
      <c r="AG197" s="301">
        <v>0.101</v>
      </c>
      <c r="AH197" s="301">
        <v>3.6723</v>
      </c>
      <c r="AI197" s="301">
        <v>0.2762</v>
      </c>
      <c r="AJ197" s="301">
        <v>0.5133</v>
      </c>
      <c r="AK197" s="301">
        <v>5.1008</v>
      </c>
      <c r="AL197" s="302">
        <v>194</v>
      </c>
      <c r="AM197" t="s">
        <v>411</v>
      </c>
    </row>
    <row r="198" spans="1:39" ht="12.75">
      <c r="A198" s="441">
        <v>40823</v>
      </c>
      <c r="B198" s="301">
        <v>0.1055</v>
      </c>
      <c r="C198" s="301">
        <v>3.2593</v>
      </c>
      <c r="D198" s="301">
        <v>3.1872</v>
      </c>
      <c r="E198" s="301">
        <v>0.4189</v>
      </c>
      <c r="F198" s="301">
        <v>3.1335</v>
      </c>
      <c r="G198" s="301">
        <v>2.5165</v>
      </c>
      <c r="H198" s="301">
        <v>2.5152</v>
      </c>
      <c r="I198" s="301">
        <v>4.3779</v>
      </c>
      <c r="J198" s="301">
        <v>1.4706</v>
      </c>
      <c r="K198" s="301">
        <v>3.541</v>
      </c>
      <c r="L198" s="301">
        <v>5.0612</v>
      </c>
      <c r="M198" s="301">
        <v>0.407</v>
      </c>
      <c r="N198" s="301">
        <v>4.2527</v>
      </c>
      <c r="O198" s="301">
        <v>0.1767</v>
      </c>
      <c r="P198" s="301">
        <v>0.5881</v>
      </c>
      <c r="R198" s="301">
        <v>2.7665</v>
      </c>
      <c r="S198" s="301">
        <v>0.5597</v>
      </c>
      <c r="U198" s="301">
        <v>0.4788</v>
      </c>
      <c r="V198" s="301">
        <v>0.5841</v>
      </c>
      <c r="W198" s="301">
        <v>1.0156</v>
      </c>
      <c r="X198" s="301">
        <v>2.2384</v>
      </c>
      <c r="Y198" s="301">
        <v>1.7687</v>
      </c>
      <c r="Z198" s="301">
        <v>1.2679</v>
      </c>
      <c r="AA198" s="301">
        <v>6.1782</v>
      </c>
      <c r="AB198" s="301">
        <v>0.0749</v>
      </c>
      <c r="AC198" s="301">
        <v>0.242</v>
      </c>
      <c r="AD198" s="301">
        <v>0.4085</v>
      </c>
      <c r="AE198" s="301">
        <v>1.8323</v>
      </c>
      <c r="AF198" s="301">
        <v>1.032</v>
      </c>
      <c r="AG198" s="301">
        <v>0.1012</v>
      </c>
      <c r="AH198" s="301">
        <v>3.6349</v>
      </c>
      <c r="AI198" s="301">
        <v>0.2761</v>
      </c>
      <c r="AJ198" s="301">
        <v>0.5113</v>
      </c>
      <c r="AK198" s="301">
        <v>5.1284</v>
      </c>
      <c r="AL198" s="302">
        <v>195</v>
      </c>
      <c r="AM198" t="s">
        <v>411</v>
      </c>
    </row>
    <row r="199" spans="1:39" ht="12.75">
      <c r="A199" s="441">
        <v>40826</v>
      </c>
      <c r="B199" s="301">
        <v>0.1033</v>
      </c>
      <c r="C199" s="301">
        <v>3.1865</v>
      </c>
      <c r="D199" s="301">
        <v>3.1605</v>
      </c>
      <c r="E199" s="301">
        <v>0.4095</v>
      </c>
      <c r="F199" s="301">
        <v>3.0955</v>
      </c>
      <c r="G199" s="301">
        <v>2.4804</v>
      </c>
      <c r="H199" s="301">
        <v>2.4799</v>
      </c>
      <c r="I199" s="301">
        <v>4.3235</v>
      </c>
      <c r="J199" s="301">
        <v>1.474</v>
      </c>
      <c r="K199" s="301">
        <v>3.4922</v>
      </c>
      <c r="L199" s="301">
        <v>4.9873</v>
      </c>
      <c r="M199" s="301">
        <v>0.4004</v>
      </c>
      <c r="N199" s="301">
        <v>4.1604</v>
      </c>
      <c r="O199" s="301">
        <v>0.1748</v>
      </c>
      <c r="P199" s="301">
        <v>0.5808</v>
      </c>
      <c r="R199" s="301">
        <v>2.7324</v>
      </c>
      <c r="S199" s="301">
        <v>0.5538</v>
      </c>
      <c r="U199" s="301">
        <v>0.4733</v>
      </c>
      <c r="V199" s="301">
        <v>0.5783</v>
      </c>
      <c r="W199" s="301">
        <v>1.0038</v>
      </c>
      <c r="X199" s="301">
        <v>2.2106</v>
      </c>
      <c r="Y199" s="301">
        <v>1.7338</v>
      </c>
      <c r="Z199" s="301">
        <v>1.2522</v>
      </c>
      <c r="AA199" s="301">
        <v>6.1049</v>
      </c>
      <c r="AB199" s="301">
        <v>0.0735</v>
      </c>
      <c r="AC199" s="301">
        <v>0.2397</v>
      </c>
      <c r="AD199" s="301">
        <v>0.4058</v>
      </c>
      <c r="AE199" s="301">
        <v>1.7986</v>
      </c>
      <c r="AF199" s="301">
        <v>1.0205</v>
      </c>
      <c r="AG199" s="301">
        <v>0.1001</v>
      </c>
      <c r="AH199" s="301">
        <v>3.5492</v>
      </c>
      <c r="AI199" s="301">
        <v>0.2728</v>
      </c>
      <c r="AJ199" s="301">
        <v>0.502</v>
      </c>
      <c r="AK199" s="301">
        <v>5.0158</v>
      </c>
      <c r="AL199" s="302">
        <v>196</v>
      </c>
      <c r="AM199" t="s">
        <v>411</v>
      </c>
    </row>
    <row r="200" spans="1:39" ht="12.75">
      <c r="A200" s="441">
        <v>40827</v>
      </c>
      <c r="B200" s="301">
        <v>0.1032</v>
      </c>
      <c r="C200" s="301">
        <v>3.1936</v>
      </c>
      <c r="D200" s="301">
        <v>3.1662</v>
      </c>
      <c r="E200" s="301">
        <v>0.4105</v>
      </c>
      <c r="F200" s="301">
        <v>3.0901</v>
      </c>
      <c r="G200" s="301">
        <v>2.4874</v>
      </c>
      <c r="H200" s="301">
        <v>2.484</v>
      </c>
      <c r="I200" s="301">
        <v>4.341</v>
      </c>
      <c r="J200" s="301">
        <v>1.4683</v>
      </c>
      <c r="K200" s="301">
        <v>3.5228</v>
      </c>
      <c r="L200" s="301">
        <v>4.9908</v>
      </c>
      <c r="M200" s="301">
        <v>0.3983</v>
      </c>
      <c r="N200" s="301">
        <v>4.1646</v>
      </c>
      <c r="O200" s="301">
        <v>0.175</v>
      </c>
      <c r="P200" s="301">
        <v>0.5832</v>
      </c>
      <c r="R200" s="301">
        <v>2.7353</v>
      </c>
      <c r="S200" s="301">
        <v>0.5559</v>
      </c>
      <c r="U200" s="301">
        <v>0.4759</v>
      </c>
      <c r="V200" s="301">
        <v>0.5814</v>
      </c>
      <c r="W200" s="301">
        <v>1.002</v>
      </c>
      <c r="X200" s="301">
        <v>2.2196</v>
      </c>
      <c r="Y200" s="301">
        <v>1.7357</v>
      </c>
      <c r="Z200" s="301">
        <v>1.2572</v>
      </c>
      <c r="AA200" s="301">
        <v>6.1487</v>
      </c>
      <c r="AB200" s="301">
        <v>0.0735</v>
      </c>
      <c r="AC200" s="301">
        <v>0.2395</v>
      </c>
      <c r="AD200" s="301">
        <v>0.4006</v>
      </c>
      <c r="AE200" s="301">
        <v>1.8125</v>
      </c>
      <c r="AF200" s="301">
        <v>1.0155</v>
      </c>
      <c r="AG200" s="301">
        <v>0.101</v>
      </c>
      <c r="AH200" s="301">
        <v>3.5836</v>
      </c>
      <c r="AI200" s="301">
        <v>0.2728</v>
      </c>
      <c r="AJ200" s="301">
        <v>0.5011</v>
      </c>
      <c r="AK200" s="301">
        <v>5.0361</v>
      </c>
      <c r="AL200" s="302">
        <v>197</v>
      </c>
      <c r="AM200" t="s">
        <v>411</v>
      </c>
    </row>
    <row r="201" spans="1:39" ht="12.75">
      <c r="A201" s="441">
        <v>40828</v>
      </c>
      <c r="B201" s="301">
        <v>0.1015</v>
      </c>
      <c r="C201" s="301">
        <v>3.1352</v>
      </c>
      <c r="D201" s="301">
        <v>3.1598</v>
      </c>
      <c r="E201" s="301">
        <v>0.4026</v>
      </c>
      <c r="F201" s="301">
        <v>3.068</v>
      </c>
      <c r="G201" s="301">
        <v>2.4786</v>
      </c>
      <c r="H201" s="301">
        <v>2.4488</v>
      </c>
      <c r="I201" s="301">
        <v>4.315</v>
      </c>
      <c r="J201" s="301">
        <v>1.4717</v>
      </c>
      <c r="K201" s="301">
        <v>3.487</v>
      </c>
      <c r="L201" s="301">
        <v>4.914</v>
      </c>
      <c r="M201" s="301">
        <v>0.3921</v>
      </c>
      <c r="N201" s="301">
        <v>4.0972</v>
      </c>
      <c r="O201" s="301">
        <v>0.1742</v>
      </c>
      <c r="P201" s="301">
        <v>0.5797</v>
      </c>
      <c r="R201" s="301">
        <v>2.7108</v>
      </c>
      <c r="S201" s="301">
        <v>0.5551</v>
      </c>
      <c r="U201" s="301">
        <v>0.4734</v>
      </c>
      <c r="V201" s="301">
        <v>0.5772</v>
      </c>
      <c r="W201" s="301">
        <v>0.9983</v>
      </c>
      <c r="X201" s="301">
        <v>2.2063</v>
      </c>
      <c r="Y201" s="301">
        <v>1.7113</v>
      </c>
      <c r="Z201" s="301">
        <v>1.2497</v>
      </c>
      <c r="AA201" s="301">
        <v>6.1232</v>
      </c>
      <c r="AB201" s="301">
        <v>0.0722</v>
      </c>
      <c r="AC201" s="301">
        <v>0.2368</v>
      </c>
      <c r="AD201" s="301">
        <v>0.4013</v>
      </c>
      <c r="AE201" s="301">
        <v>1.7649</v>
      </c>
      <c r="AF201" s="301">
        <v>1.0001</v>
      </c>
      <c r="AG201" s="301">
        <v>0.1003</v>
      </c>
      <c r="AH201" s="301">
        <v>3.5635</v>
      </c>
      <c r="AI201" s="301">
        <v>0.2689</v>
      </c>
      <c r="AJ201" s="301">
        <v>0.4926</v>
      </c>
      <c r="AK201" s="301">
        <v>4.9684</v>
      </c>
      <c r="AL201" s="302">
        <v>198</v>
      </c>
      <c r="AM201" t="s">
        <v>411</v>
      </c>
    </row>
    <row r="202" spans="1:39" ht="12.75">
      <c r="A202" s="441">
        <v>40829</v>
      </c>
      <c r="B202" s="301">
        <v>0.102</v>
      </c>
      <c r="C202" s="301">
        <v>3.1409</v>
      </c>
      <c r="D202" s="301">
        <v>3.1894</v>
      </c>
      <c r="E202" s="301">
        <v>0.4039</v>
      </c>
      <c r="F202" s="301">
        <v>3.0744</v>
      </c>
      <c r="G202" s="301">
        <v>2.487</v>
      </c>
      <c r="H202" s="301">
        <v>2.4562</v>
      </c>
      <c r="I202" s="301">
        <v>4.3161</v>
      </c>
      <c r="J202" s="301">
        <v>1.4793</v>
      </c>
      <c r="K202" s="301">
        <v>3.4974</v>
      </c>
      <c r="L202" s="301">
        <v>4.9285</v>
      </c>
      <c r="M202" s="301">
        <v>0.3969</v>
      </c>
      <c r="N202" s="301">
        <v>4.087</v>
      </c>
      <c r="O202" s="301">
        <v>0.1745</v>
      </c>
      <c r="P202" s="301">
        <v>0.5797</v>
      </c>
      <c r="R202" s="301">
        <v>2.7162</v>
      </c>
      <c r="S202" s="301">
        <v>0.5558</v>
      </c>
      <c r="U202" s="301">
        <v>0.4725</v>
      </c>
      <c r="V202" s="301">
        <v>0.5768</v>
      </c>
      <c r="W202" s="301">
        <v>1.0003</v>
      </c>
      <c r="X202" s="301">
        <v>2.2068</v>
      </c>
      <c r="Y202" s="301">
        <v>1.7153</v>
      </c>
      <c r="Z202" s="301">
        <v>1.25</v>
      </c>
      <c r="AA202" s="301">
        <v>6.1178</v>
      </c>
      <c r="AB202" s="301">
        <v>0.0725</v>
      </c>
      <c r="AC202" s="301">
        <v>0.2359</v>
      </c>
      <c r="AD202" s="301">
        <v>0.3998</v>
      </c>
      <c r="AE202" s="301">
        <v>1.7706</v>
      </c>
      <c r="AF202" s="301">
        <v>1.0015</v>
      </c>
      <c r="AG202" s="301">
        <v>0.1005</v>
      </c>
      <c r="AH202" s="301">
        <v>3.5289</v>
      </c>
      <c r="AI202" s="301">
        <v>0.2711</v>
      </c>
      <c r="AJ202" s="301">
        <v>0.4925</v>
      </c>
      <c r="AK202" s="301">
        <v>4.939</v>
      </c>
      <c r="AL202" s="302">
        <v>199</v>
      </c>
      <c r="AM202" t="s">
        <v>411</v>
      </c>
    </row>
    <row r="203" spans="1:39" ht="12.75">
      <c r="A203" s="441">
        <v>40830</v>
      </c>
      <c r="B203" s="301">
        <v>0.1012</v>
      </c>
      <c r="C203" s="301">
        <v>3.1107</v>
      </c>
      <c r="D203" s="301">
        <v>3.1851</v>
      </c>
      <c r="E203" s="301">
        <v>0.4</v>
      </c>
      <c r="F203" s="301">
        <v>3.0545</v>
      </c>
      <c r="G203" s="301">
        <v>2.4806</v>
      </c>
      <c r="H203" s="301">
        <v>2.4495</v>
      </c>
      <c r="I203" s="301">
        <v>4.2925</v>
      </c>
      <c r="J203" s="301">
        <v>1.4731</v>
      </c>
      <c r="K203" s="301">
        <v>3.4704</v>
      </c>
      <c r="L203" s="301">
        <v>4.904</v>
      </c>
      <c r="M203" s="301">
        <v>0.3887</v>
      </c>
      <c r="N203" s="301">
        <v>4.0448</v>
      </c>
      <c r="O203" s="301">
        <v>0.1736</v>
      </c>
      <c r="P203" s="301">
        <v>0.5766</v>
      </c>
      <c r="R203" s="301">
        <v>2.6946</v>
      </c>
      <c r="S203" s="301">
        <v>0.5539</v>
      </c>
      <c r="U203" s="301">
        <v>0.4692</v>
      </c>
      <c r="V203" s="301">
        <v>0.5743</v>
      </c>
      <c r="W203" s="301">
        <v>0.9944</v>
      </c>
      <c r="X203" s="301">
        <v>2.1948</v>
      </c>
      <c r="Y203" s="301">
        <v>1.7001</v>
      </c>
      <c r="Z203" s="301">
        <v>1.2432</v>
      </c>
      <c r="AA203" s="301">
        <v>6.0826</v>
      </c>
      <c r="AB203" s="301">
        <v>0.0717</v>
      </c>
      <c r="AC203" s="301">
        <v>0.233</v>
      </c>
      <c r="AD203" s="301">
        <v>0.3974</v>
      </c>
      <c r="AE203" s="301">
        <v>1.7771</v>
      </c>
      <c r="AF203" s="301">
        <v>0.994</v>
      </c>
      <c r="AG203" s="301">
        <v>0.1006</v>
      </c>
      <c r="AH203" s="301">
        <v>3.5119</v>
      </c>
      <c r="AI203" s="301">
        <v>0.269</v>
      </c>
      <c r="AJ203" s="301">
        <v>0.4875</v>
      </c>
      <c r="AK203" s="301">
        <v>4.9183</v>
      </c>
      <c r="AL203" s="302">
        <v>200</v>
      </c>
      <c r="AM203" t="s">
        <v>411</v>
      </c>
    </row>
    <row r="204" spans="1:39" ht="12.75">
      <c r="A204" s="441">
        <v>40833</v>
      </c>
      <c r="B204" s="301">
        <v>0.1006</v>
      </c>
      <c r="C204" s="301">
        <v>3.0759</v>
      </c>
      <c r="D204" s="301">
        <v>3.1843</v>
      </c>
      <c r="E204" s="301">
        <v>0.3954</v>
      </c>
      <c r="F204" s="301">
        <v>3.0575</v>
      </c>
      <c r="G204" s="301">
        <v>2.4766</v>
      </c>
      <c r="H204" s="301">
        <v>2.4413</v>
      </c>
      <c r="I204" s="301">
        <v>4.2716</v>
      </c>
      <c r="J204" s="301">
        <v>1.4659</v>
      </c>
      <c r="K204" s="301">
        <v>3.4528</v>
      </c>
      <c r="L204" s="301">
        <v>4.8577</v>
      </c>
      <c r="M204" s="301">
        <v>0.3838</v>
      </c>
      <c r="N204" s="301">
        <v>3.9701</v>
      </c>
      <c r="O204" s="301">
        <v>0.173</v>
      </c>
      <c r="P204" s="301">
        <v>0.5738</v>
      </c>
      <c r="R204" s="301">
        <v>2.6739</v>
      </c>
      <c r="S204" s="301">
        <v>0.5531</v>
      </c>
      <c r="U204" s="301">
        <v>0.468</v>
      </c>
      <c r="V204" s="301">
        <v>0.572</v>
      </c>
      <c r="W204" s="301">
        <v>0.9871</v>
      </c>
      <c r="X204" s="301">
        <v>2.1841</v>
      </c>
      <c r="Y204" s="301">
        <v>1.6729</v>
      </c>
      <c r="Z204" s="301">
        <v>1.2371</v>
      </c>
      <c r="AA204" s="301">
        <v>6.0607</v>
      </c>
      <c r="AB204" s="301">
        <v>0.0713</v>
      </c>
      <c r="AC204" s="301">
        <v>0.2332</v>
      </c>
      <c r="AD204" s="301">
        <v>0.394</v>
      </c>
      <c r="AE204" s="301">
        <v>1.7752</v>
      </c>
      <c r="AF204" s="301">
        <v>0.9918</v>
      </c>
      <c r="AG204" s="301">
        <v>0.1003</v>
      </c>
      <c r="AH204" s="301">
        <v>3.4844</v>
      </c>
      <c r="AI204" s="301">
        <v>0.2699</v>
      </c>
      <c r="AJ204" s="301">
        <v>0.4827</v>
      </c>
      <c r="AK204" s="301">
        <v>4.8744</v>
      </c>
      <c r="AL204" s="302">
        <v>201</v>
      </c>
      <c r="AM204" t="s">
        <v>411</v>
      </c>
    </row>
    <row r="205" spans="1:39" ht="12.75">
      <c r="A205" s="441">
        <v>40834</v>
      </c>
      <c r="B205" s="301">
        <v>0.1035</v>
      </c>
      <c r="C205" s="301">
        <v>3.1788</v>
      </c>
      <c r="D205" s="301">
        <v>3.2245</v>
      </c>
      <c r="E205" s="301">
        <v>0.4092</v>
      </c>
      <c r="F205" s="301">
        <v>3.1043</v>
      </c>
      <c r="G205" s="301">
        <v>2.5049</v>
      </c>
      <c r="H205" s="301">
        <v>2.494</v>
      </c>
      <c r="I205" s="301">
        <v>4.3499</v>
      </c>
      <c r="J205" s="301">
        <v>1.4602</v>
      </c>
      <c r="K205" s="301">
        <v>3.5246</v>
      </c>
      <c r="L205" s="301">
        <v>5.0016</v>
      </c>
      <c r="M205" s="301">
        <v>0.3963</v>
      </c>
      <c r="N205" s="301">
        <v>4.1394</v>
      </c>
      <c r="O205" s="301">
        <v>0.1759</v>
      </c>
      <c r="P205" s="301">
        <v>0.5843</v>
      </c>
      <c r="R205" s="301">
        <v>2.737</v>
      </c>
      <c r="S205" s="301">
        <v>0.5615</v>
      </c>
      <c r="U205" s="301">
        <v>0.4741</v>
      </c>
      <c r="V205" s="301">
        <v>0.5824</v>
      </c>
      <c r="W205" s="301">
        <v>0.9995</v>
      </c>
      <c r="X205" s="301">
        <v>2.2241</v>
      </c>
      <c r="Y205" s="301">
        <v>1.7045</v>
      </c>
      <c r="Z205" s="301">
        <v>1.2598</v>
      </c>
      <c r="AA205" s="301">
        <v>6.1679</v>
      </c>
      <c r="AB205" s="301">
        <v>0.0735</v>
      </c>
      <c r="AC205" s="301">
        <v>0.2354</v>
      </c>
      <c r="AD205" s="301">
        <v>0.3948</v>
      </c>
      <c r="AE205" s="301">
        <v>1.7944</v>
      </c>
      <c r="AF205" s="301">
        <v>1.0141</v>
      </c>
      <c r="AG205" s="301">
        <v>0.1018</v>
      </c>
      <c r="AH205" s="301">
        <v>3.5889</v>
      </c>
      <c r="AI205" s="301">
        <v>0.2777</v>
      </c>
      <c r="AJ205" s="301">
        <v>0.4988</v>
      </c>
      <c r="AK205" s="301">
        <v>4.9732</v>
      </c>
      <c r="AL205" s="302">
        <v>202</v>
      </c>
      <c r="AM205" t="s">
        <v>411</v>
      </c>
    </row>
    <row r="206" spans="1:39" ht="12.75">
      <c r="A206" s="441">
        <v>40835</v>
      </c>
      <c r="B206" s="301">
        <v>0.1023</v>
      </c>
      <c r="C206" s="301">
        <v>3.1347</v>
      </c>
      <c r="D206" s="301">
        <v>3.2326</v>
      </c>
      <c r="E206" s="301">
        <v>0.4031</v>
      </c>
      <c r="F206" s="301">
        <v>3.0988</v>
      </c>
      <c r="G206" s="301">
        <v>2.5036</v>
      </c>
      <c r="H206" s="301">
        <v>2.4831</v>
      </c>
      <c r="I206" s="301">
        <v>4.3334</v>
      </c>
      <c r="J206" s="301">
        <v>1.4651</v>
      </c>
      <c r="K206" s="301">
        <v>3.482</v>
      </c>
      <c r="L206" s="301">
        <v>4.9372</v>
      </c>
      <c r="M206" s="301">
        <v>0.3916</v>
      </c>
      <c r="N206" s="301">
        <v>4.0821</v>
      </c>
      <c r="O206" s="301">
        <v>0.1744</v>
      </c>
      <c r="P206" s="301">
        <v>0.5821</v>
      </c>
      <c r="R206" s="301">
        <v>2.7211</v>
      </c>
      <c r="S206" s="301">
        <v>0.5601</v>
      </c>
      <c r="U206" s="301">
        <v>0.4739</v>
      </c>
      <c r="V206" s="301">
        <v>0.5801</v>
      </c>
      <c r="W206" s="301">
        <v>1.0004</v>
      </c>
      <c r="X206" s="301">
        <v>2.2157</v>
      </c>
      <c r="Y206" s="301">
        <v>1.6973</v>
      </c>
      <c r="Z206" s="301">
        <v>1.255</v>
      </c>
      <c r="AA206" s="301">
        <v>6.1441</v>
      </c>
      <c r="AB206" s="301">
        <v>0.0726</v>
      </c>
      <c r="AC206" s="301">
        <v>0.2353</v>
      </c>
      <c r="AD206" s="301">
        <v>0.3924</v>
      </c>
      <c r="AE206" s="301">
        <v>1.7888</v>
      </c>
      <c r="AF206" s="301">
        <v>1.0073</v>
      </c>
      <c r="AG206" s="301">
        <v>0.1012</v>
      </c>
      <c r="AH206" s="301">
        <v>3.5453</v>
      </c>
      <c r="AI206" s="301">
        <v>0.2765</v>
      </c>
      <c r="AJ206" s="301">
        <v>0.4915</v>
      </c>
      <c r="AK206" s="301">
        <v>4.9811</v>
      </c>
      <c r="AL206" s="302">
        <v>203</v>
      </c>
      <c r="AM206" t="s">
        <v>411</v>
      </c>
    </row>
    <row r="207" spans="1:39" ht="12.75">
      <c r="A207" s="441">
        <v>40836</v>
      </c>
      <c r="B207" s="301">
        <v>0.1027</v>
      </c>
      <c r="C207" s="301">
        <v>3.1779</v>
      </c>
      <c r="D207" s="301">
        <v>3.2431</v>
      </c>
      <c r="E207" s="301">
        <v>0.4084</v>
      </c>
      <c r="F207" s="301">
        <v>3.115</v>
      </c>
      <c r="G207" s="301">
        <v>2.5221</v>
      </c>
      <c r="H207" s="301">
        <v>2.5013</v>
      </c>
      <c r="I207" s="301">
        <v>4.3628</v>
      </c>
      <c r="J207" s="301">
        <v>1.4688</v>
      </c>
      <c r="K207" s="301">
        <v>3.5197</v>
      </c>
      <c r="L207" s="301">
        <v>4.9958</v>
      </c>
      <c r="M207" s="301">
        <v>0.3972</v>
      </c>
      <c r="N207" s="301">
        <v>4.1405</v>
      </c>
      <c r="O207" s="301">
        <v>0.1753</v>
      </c>
      <c r="P207" s="301">
        <v>0.586</v>
      </c>
      <c r="R207" s="301">
        <v>2.7379</v>
      </c>
      <c r="S207" s="301">
        <v>0.5649</v>
      </c>
      <c r="U207" s="301">
        <v>0.479</v>
      </c>
      <c r="V207" s="301">
        <v>0.5838</v>
      </c>
      <c r="W207" s="301">
        <v>1.0067</v>
      </c>
      <c r="X207" s="301">
        <v>2.2307</v>
      </c>
      <c r="Y207" s="301">
        <v>1.6977</v>
      </c>
      <c r="Z207" s="301">
        <v>1.2635</v>
      </c>
      <c r="AA207" s="301">
        <v>6.1849</v>
      </c>
      <c r="AB207" s="301">
        <v>0.0734</v>
      </c>
      <c r="AC207" s="301">
        <v>0.236</v>
      </c>
      <c r="AD207" s="301">
        <v>0.3926</v>
      </c>
      <c r="AE207" s="301">
        <v>1.7926</v>
      </c>
      <c r="AF207" s="301">
        <v>1.0156</v>
      </c>
      <c r="AG207" s="301">
        <v>0.1012</v>
      </c>
      <c r="AH207" s="301">
        <v>3.5855</v>
      </c>
      <c r="AI207" s="301">
        <v>0.278</v>
      </c>
      <c r="AJ207" s="301">
        <v>0.4978</v>
      </c>
      <c r="AK207" s="301">
        <v>4.9806</v>
      </c>
      <c r="AL207" s="302">
        <v>204</v>
      </c>
      <c r="AM207" t="s">
        <v>411</v>
      </c>
    </row>
    <row r="208" spans="1:39" ht="12.75">
      <c r="A208" s="441">
        <v>40837</v>
      </c>
      <c r="B208" s="301">
        <v>0.103</v>
      </c>
      <c r="C208" s="301">
        <v>3.1969</v>
      </c>
      <c r="D208" s="301">
        <v>3.2733</v>
      </c>
      <c r="E208" s="301">
        <v>0.4109</v>
      </c>
      <c r="F208" s="301">
        <v>3.1436</v>
      </c>
      <c r="G208" s="301">
        <v>2.5334</v>
      </c>
      <c r="H208" s="301">
        <v>2.5018</v>
      </c>
      <c r="I208" s="301">
        <v>4.396</v>
      </c>
      <c r="J208" s="301">
        <v>1.4657</v>
      </c>
      <c r="K208" s="301">
        <v>3.5893</v>
      </c>
      <c r="L208" s="301">
        <v>5.0482</v>
      </c>
      <c r="M208" s="301">
        <v>0.3997</v>
      </c>
      <c r="N208" s="301">
        <v>4.1694</v>
      </c>
      <c r="O208" s="301">
        <v>0.1754</v>
      </c>
      <c r="P208" s="301">
        <v>0.5905</v>
      </c>
      <c r="R208" s="301">
        <v>2.7613</v>
      </c>
      <c r="S208" s="301">
        <v>0.5705</v>
      </c>
      <c r="U208" s="301">
        <v>0.484</v>
      </c>
      <c r="V208" s="301">
        <v>0.5881</v>
      </c>
      <c r="W208" s="301">
        <v>1.0154</v>
      </c>
      <c r="X208" s="301">
        <v>2.2477</v>
      </c>
      <c r="Y208" s="301">
        <v>1.7239</v>
      </c>
      <c r="Z208" s="301">
        <v>1.2732</v>
      </c>
      <c r="AA208" s="301">
        <v>6.2377</v>
      </c>
      <c r="AB208" s="301">
        <v>0.0736</v>
      </c>
      <c r="AC208" s="301">
        <v>0.2333</v>
      </c>
      <c r="AD208" s="301">
        <v>0.3896</v>
      </c>
      <c r="AE208" s="301">
        <v>1.794</v>
      </c>
      <c r="AF208" s="301">
        <v>1.0149</v>
      </c>
      <c r="AG208" s="301">
        <v>0.102</v>
      </c>
      <c r="AH208" s="301">
        <v>3.5978</v>
      </c>
      <c r="AI208" s="301">
        <v>0.2786</v>
      </c>
      <c r="AJ208" s="301">
        <v>0.5007</v>
      </c>
      <c r="AK208" s="301">
        <v>5.0206</v>
      </c>
      <c r="AL208" s="302">
        <v>205</v>
      </c>
      <c r="AM208" t="s">
        <v>411</v>
      </c>
    </row>
    <row r="209" spans="1:39" ht="12.75">
      <c r="A209" s="441">
        <v>40840</v>
      </c>
      <c r="B209" s="301">
        <v>0.1027</v>
      </c>
      <c r="C209" s="301">
        <v>3.1705</v>
      </c>
      <c r="D209" s="301">
        <v>3.2902</v>
      </c>
      <c r="E209" s="301">
        <v>0.4077</v>
      </c>
      <c r="F209" s="301">
        <v>3.1488</v>
      </c>
      <c r="G209" s="301">
        <v>2.5479</v>
      </c>
      <c r="H209" s="301">
        <v>2.4933</v>
      </c>
      <c r="I209" s="301">
        <v>4.3934</v>
      </c>
      <c r="J209" s="301">
        <v>1.4768</v>
      </c>
      <c r="K209" s="301">
        <v>3.581</v>
      </c>
      <c r="L209" s="301">
        <v>5.0548</v>
      </c>
      <c r="M209" s="301">
        <v>0.3962</v>
      </c>
      <c r="N209" s="301">
        <v>4.1628</v>
      </c>
      <c r="O209" s="301">
        <v>0.1759</v>
      </c>
      <c r="P209" s="301">
        <v>0.5901</v>
      </c>
      <c r="R209" s="301">
        <v>2.7588</v>
      </c>
      <c r="S209" s="301">
        <v>0.5699</v>
      </c>
      <c r="U209" s="301">
        <v>0.482</v>
      </c>
      <c r="V209" s="301">
        <v>0.5871</v>
      </c>
      <c r="W209" s="301">
        <v>1.0158</v>
      </c>
      <c r="X209" s="301">
        <v>2.2463</v>
      </c>
      <c r="Y209" s="301">
        <v>1.7359</v>
      </c>
      <c r="Z209" s="301">
        <v>1.2724</v>
      </c>
      <c r="AA209" s="301">
        <v>6.2353</v>
      </c>
      <c r="AB209" s="301">
        <v>0.0733</v>
      </c>
      <c r="AC209" s="301">
        <v>0.2334</v>
      </c>
      <c r="AD209" s="301">
        <v>0.3949</v>
      </c>
      <c r="AE209" s="301">
        <v>1.7862</v>
      </c>
      <c r="AF209" s="301">
        <v>1.0103</v>
      </c>
      <c r="AG209" s="301">
        <v>0.1027</v>
      </c>
      <c r="AH209" s="301">
        <v>3.5741</v>
      </c>
      <c r="AI209" s="301">
        <v>0.279</v>
      </c>
      <c r="AJ209" s="301">
        <v>0.4973</v>
      </c>
      <c r="AK209" s="301">
        <v>5.015</v>
      </c>
      <c r="AL209" s="302">
        <v>206</v>
      </c>
      <c r="AM209" t="s">
        <v>411</v>
      </c>
    </row>
    <row r="210" spans="1:39" ht="12.75">
      <c r="A210" s="441">
        <v>40841</v>
      </c>
      <c r="B210" s="301">
        <v>0.1019</v>
      </c>
      <c r="C210" s="301">
        <v>3.1445</v>
      </c>
      <c r="D210" s="301">
        <v>3.2941</v>
      </c>
      <c r="E210" s="301">
        <v>0.4045</v>
      </c>
      <c r="F210" s="301">
        <v>3.1413</v>
      </c>
      <c r="G210" s="301">
        <v>2.5273</v>
      </c>
      <c r="H210" s="301">
        <v>2.4902</v>
      </c>
      <c r="I210" s="301">
        <v>4.3787</v>
      </c>
      <c r="J210" s="301">
        <v>1.4736</v>
      </c>
      <c r="K210" s="301">
        <v>3.5781</v>
      </c>
      <c r="L210" s="301">
        <v>5.0258</v>
      </c>
      <c r="M210" s="301">
        <v>0.393</v>
      </c>
      <c r="N210" s="301">
        <v>4.132</v>
      </c>
      <c r="O210" s="301">
        <v>0.176</v>
      </c>
      <c r="P210" s="301">
        <v>0.5881</v>
      </c>
      <c r="R210" s="301">
        <v>2.7513</v>
      </c>
      <c r="S210" s="301">
        <v>0.5706</v>
      </c>
      <c r="U210" s="301">
        <v>0.4802</v>
      </c>
      <c r="V210" s="301">
        <v>0.5849</v>
      </c>
      <c r="W210" s="301">
        <v>1.0127</v>
      </c>
      <c r="X210" s="301">
        <v>2.2388</v>
      </c>
      <c r="Y210" s="301">
        <v>1.7416</v>
      </c>
      <c r="Z210" s="301">
        <v>1.2681</v>
      </c>
      <c r="AA210" s="301">
        <v>6.2215</v>
      </c>
      <c r="AB210" s="301">
        <v>0.0729</v>
      </c>
      <c r="AC210" s="301">
        <v>0.2351</v>
      </c>
      <c r="AD210" s="301">
        <v>0.3978</v>
      </c>
      <c r="AE210" s="301">
        <v>1.7961</v>
      </c>
      <c r="AF210" s="301">
        <v>1.0054</v>
      </c>
      <c r="AG210" s="301">
        <v>0.1031</v>
      </c>
      <c r="AH210" s="301">
        <v>3.551</v>
      </c>
      <c r="AI210" s="301">
        <v>0.2791</v>
      </c>
      <c r="AJ210" s="301">
        <v>0.4945</v>
      </c>
      <c r="AK210" s="301">
        <v>4.9954</v>
      </c>
      <c r="AL210" s="302">
        <v>207</v>
      </c>
      <c r="AM210" t="s">
        <v>411</v>
      </c>
    </row>
    <row r="211" spans="1:39" ht="12.75">
      <c r="A211" s="441">
        <v>40842</v>
      </c>
      <c r="B211" s="301">
        <v>0.1024</v>
      </c>
      <c r="C211" s="301">
        <v>3.1498</v>
      </c>
      <c r="D211" s="301">
        <v>3.2568</v>
      </c>
      <c r="E211" s="301">
        <v>0.4053</v>
      </c>
      <c r="F211" s="301">
        <v>3.1017</v>
      </c>
      <c r="G211" s="301">
        <v>2.5031</v>
      </c>
      <c r="H211" s="301">
        <v>2.4859</v>
      </c>
      <c r="I211" s="301">
        <v>4.3856</v>
      </c>
      <c r="J211" s="301">
        <v>1.4686</v>
      </c>
      <c r="K211" s="301">
        <v>3.5999</v>
      </c>
      <c r="L211" s="301">
        <v>5.0351</v>
      </c>
      <c r="M211" s="301">
        <v>0.3933</v>
      </c>
      <c r="N211" s="301">
        <v>4.1491</v>
      </c>
      <c r="O211" s="301">
        <v>0.1758</v>
      </c>
      <c r="P211" s="301">
        <v>0.5891</v>
      </c>
      <c r="R211" s="301">
        <v>2.7552</v>
      </c>
      <c r="S211" s="301">
        <v>0.5701</v>
      </c>
      <c r="U211" s="301">
        <v>0.4816</v>
      </c>
      <c r="V211" s="301">
        <v>0.586</v>
      </c>
      <c r="W211" s="301">
        <v>1.0136</v>
      </c>
      <c r="X211" s="301">
        <v>2.2424</v>
      </c>
      <c r="Y211" s="301">
        <v>1.7827</v>
      </c>
      <c r="Z211" s="301">
        <v>1.2701</v>
      </c>
      <c r="AA211" s="301">
        <v>6.2322</v>
      </c>
      <c r="AB211" s="301">
        <v>0.0729</v>
      </c>
      <c r="AC211" s="301">
        <v>0.2331</v>
      </c>
      <c r="AD211" s="301">
        <v>0.3947</v>
      </c>
      <c r="AE211" s="301">
        <v>1.7838</v>
      </c>
      <c r="AF211" s="301">
        <v>1.0069</v>
      </c>
      <c r="AG211" s="301">
        <v>0.103</v>
      </c>
      <c r="AH211" s="301">
        <v>3.5478</v>
      </c>
      <c r="AI211" s="301">
        <v>0.2781</v>
      </c>
      <c r="AJ211" s="301">
        <v>0.4958</v>
      </c>
      <c r="AK211" s="301">
        <v>4.9984</v>
      </c>
      <c r="AL211" s="302">
        <v>208</v>
      </c>
      <c r="AM211" t="s">
        <v>411</v>
      </c>
    </row>
    <row r="212" spans="1:39" ht="12.75">
      <c r="A212" s="441">
        <v>40843</v>
      </c>
      <c r="B212" s="301">
        <v>0.1014</v>
      </c>
      <c r="C212" s="301">
        <v>3.1083</v>
      </c>
      <c r="D212" s="301">
        <v>3.2871</v>
      </c>
      <c r="E212" s="301">
        <v>0.4</v>
      </c>
      <c r="F212" s="301">
        <v>3.1176</v>
      </c>
      <c r="G212" s="301">
        <v>2.5162</v>
      </c>
      <c r="H212" s="301">
        <v>2.4701</v>
      </c>
      <c r="I212" s="301">
        <v>4.3488</v>
      </c>
      <c r="J212" s="301">
        <v>1.4415</v>
      </c>
      <c r="K212" s="301">
        <v>3.5482</v>
      </c>
      <c r="L212" s="301">
        <v>4.9695</v>
      </c>
      <c r="M212" s="301">
        <v>0.388</v>
      </c>
      <c r="N212" s="301">
        <v>4.0963</v>
      </c>
      <c r="O212" s="301">
        <v>0.1748</v>
      </c>
      <c r="P212" s="301">
        <v>0.5842</v>
      </c>
      <c r="R212" s="301">
        <v>2.7372</v>
      </c>
      <c r="S212" s="301">
        <v>0.5678</v>
      </c>
      <c r="U212" s="301">
        <v>0.4816</v>
      </c>
      <c r="V212" s="301">
        <v>0.5805</v>
      </c>
      <c r="W212" s="301">
        <v>1.0048</v>
      </c>
      <c r="X212" s="301">
        <v>2.2235</v>
      </c>
      <c r="Y212" s="301">
        <v>1.7713</v>
      </c>
      <c r="Z212" s="301">
        <v>1.2595</v>
      </c>
      <c r="AA212" s="301">
        <v>6.1782</v>
      </c>
      <c r="AB212" s="301">
        <v>0.0725</v>
      </c>
      <c r="AC212" s="301">
        <v>0.2341</v>
      </c>
      <c r="AD212" s="301">
        <v>0.3949</v>
      </c>
      <c r="AE212" s="301">
        <v>1.7677</v>
      </c>
      <c r="AF212" s="301">
        <v>0.9996</v>
      </c>
      <c r="AG212" s="301">
        <v>0.1027</v>
      </c>
      <c r="AH212" s="301">
        <v>3.5078</v>
      </c>
      <c r="AI212" s="301">
        <v>0.2793</v>
      </c>
      <c r="AJ212" s="301">
        <v>0.4888</v>
      </c>
      <c r="AK212" s="301">
        <v>4.9511</v>
      </c>
      <c r="AL212" s="302">
        <v>209</v>
      </c>
      <c r="AM212" t="s">
        <v>411</v>
      </c>
    </row>
    <row r="213" spans="1:39" ht="12.75">
      <c r="A213" s="441">
        <v>40844</v>
      </c>
      <c r="B213" s="301">
        <v>0.0999</v>
      </c>
      <c r="C213" s="301">
        <v>3.0461</v>
      </c>
      <c r="D213" s="301">
        <v>3.2552</v>
      </c>
      <c r="E213" s="301">
        <v>0.3922</v>
      </c>
      <c r="F213" s="301">
        <v>3.0759</v>
      </c>
      <c r="G213" s="301">
        <v>2.4943</v>
      </c>
      <c r="H213" s="301">
        <v>2.4503</v>
      </c>
      <c r="I213" s="301">
        <v>4.319</v>
      </c>
      <c r="J213" s="301">
        <v>1.4352</v>
      </c>
      <c r="K213" s="301">
        <v>3.5319</v>
      </c>
      <c r="L213" s="301">
        <v>4.9085</v>
      </c>
      <c r="M213" s="301">
        <v>0.3803</v>
      </c>
      <c r="N213" s="301">
        <v>4.016</v>
      </c>
      <c r="O213" s="301">
        <v>0.1749</v>
      </c>
      <c r="P213" s="301">
        <v>0.5802</v>
      </c>
      <c r="R213" s="301">
        <v>2.7087</v>
      </c>
      <c r="S213" s="301">
        <v>0.5626</v>
      </c>
      <c r="U213" s="301">
        <v>0.4793</v>
      </c>
      <c r="V213" s="301">
        <v>0.5766</v>
      </c>
      <c r="W213" s="301">
        <v>1.0017</v>
      </c>
      <c r="X213" s="301">
        <v>2.2083</v>
      </c>
      <c r="Y213" s="301">
        <v>1.7424</v>
      </c>
      <c r="Z213" s="301">
        <v>1.2509</v>
      </c>
      <c r="AA213" s="301">
        <v>6.1358</v>
      </c>
      <c r="AB213" s="301">
        <v>0.0715</v>
      </c>
      <c r="AC213" s="301">
        <v>0.2322</v>
      </c>
      <c r="AD213" s="301">
        <v>0.3944</v>
      </c>
      <c r="AE213" s="301">
        <v>1.782</v>
      </c>
      <c r="AF213" s="301">
        <v>0.9923</v>
      </c>
      <c r="AG213" s="301">
        <v>0.1024</v>
      </c>
      <c r="AH213" s="301">
        <v>3.4523</v>
      </c>
      <c r="AI213" s="301">
        <v>0.2757</v>
      </c>
      <c r="AJ213" s="301">
        <v>0.4794</v>
      </c>
      <c r="AK213" s="301">
        <v>4.8947</v>
      </c>
      <c r="AL213" s="302">
        <v>210</v>
      </c>
      <c r="AM213" t="s">
        <v>411</v>
      </c>
    </row>
    <row r="214" spans="1:39" ht="12.75">
      <c r="A214" s="441">
        <v>40847</v>
      </c>
      <c r="B214" s="301">
        <v>0.1009</v>
      </c>
      <c r="C214" s="301">
        <v>3.1024</v>
      </c>
      <c r="D214" s="301">
        <v>3.2777</v>
      </c>
      <c r="E214" s="301">
        <v>0.3995</v>
      </c>
      <c r="F214" s="301">
        <v>3.1116</v>
      </c>
      <c r="G214" s="301">
        <v>2.5178</v>
      </c>
      <c r="H214" s="301">
        <v>2.4836</v>
      </c>
      <c r="I214" s="301">
        <v>4.3433</v>
      </c>
      <c r="J214" s="301">
        <v>1.4262</v>
      </c>
      <c r="K214" s="301">
        <v>3.5612</v>
      </c>
      <c r="L214" s="301">
        <v>4.9683</v>
      </c>
      <c r="M214" s="301">
        <v>0.3876</v>
      </c>
      <c r="N214" s="301">
        <v>3.9785</v>
      </c>
      <c r="O214" s="301">
        <v>0.1751</v>
      </c>
      <c r="P214" s="301">
        <v>0.5836</v>
      </c>
      <c r="R214" s="301">
        <v>2.7265</v>
      </c>
      <c r="S214" s="301">
        <v>0.5637</v>
      </c>
      <c r="U214" s="301">
        <v>0.4811</v>
      </c>
      <c r="V214" s="301">
        <v>0.5796</v>
      </c>
      <c r="W214" s="301">
        <v>1.0042</v>
      </c>
      <c r="X214" s="301">
        <v>2.2207</v>
      </c>
      <c r="Y214" s="301">
        <v>1.7678</v>
      </c>
      <c r="Z214" s="301">
        <v>1.2579</v>
      </c>
      <c r="AA214" s="301">
        <v>6.1703</v>
      </c>
      <c r="AB214" s="301">
        <v>0.0728</v>
      </c>
      <c r="AC214" s="301">
        <v>0.2365</v>
      </c>
      <c r="AD214" s="301">
        <v>0.3954</v>
      </c>
      <c r="AE214" s="301">
        <v>1.8551</v>
      </c>
      <c r="AF214" s="301">
        <v>1.0114</v>
      </c>
      <c r="AG214" s="301">
        <v>0.1029</v>
      </c>
      <c r="AH214" s="301">
        <v>3.4998</v>
      </c>
      <c r="AI214" s="301">
        <v>0.2798</v>
      </c>
      <c r="AJ214" s="301">
        <v>0.4882</v>
      </c>
      <c r="AK214" s="301">
        <v>4.8984</v>
      </c>
      <c r="AL214" s="302">
        <v>211</v>
      </c>
      <c r="AM214" t="s">
        <v>411</v>
      </c>
    </row>
    <row r="215" spans="1:39" ht="12.75">
      <c r="A215" s="441">
        <v>40849</v>
      </c>
      <c r="B215" s="301">
        <v>0.1043</v>
      </c>
      <c r="C215" s="301">
        <v>3.2093</v>
      </c>
      <c r="D215" s="301">
        <v>3.3204</v>
      </c>
      <c r="E215" s="301">
        <v>0.4131</v>
      </c>
      <c r="F215" s="301">
        <v>3.1468</v>
      </c>
      <c r="G215" s="301">
        <v>2.5436</v>
      </c>
      <c r="H215" s="301">
        <v>2.5157</v>
      </c>
      <c r="I215" s="301">
        <v>4.4146</v>
      </c>
      <c r="J215" s="301">
        <v>1.4384</v>
      </c>
      <c r="K215" s="301">
        <v>3.6295</v>
      </c>
      <c r="L215" s="301">
        <v>5.1353</v>
      </c>
      <c r="M215" s="301">
        <v>0.4002</v>
      </c>
      <c r="N215" s="301">
        <v>4.1125</v>
      </c>
      <c r="O215" s="301">
        <v>0.1758</v>
      </c>
      <c r="P215" s="301">
        <v>0.5933</v>
      </c>
      <c r="R215" s="301">
        <v>2.7847</v>
      </c>
      <c r="S215" s="301">
        <v>0.5674</v>
      </c>
      <c r="U215" s="301">
        <v>0.4857</v>
      </c>
      <c r="V215" s="301">
        <v>0.5891</v>
      </c>
      <c r="W215" s="301">
        <v>1.0156</v>
      </c>
      <c r="X215" s="301">
        <v>2.2572</v>
      </c>
      <c r="Y215" s="301">
        <v>1.7984</v>
      </c>
      <c r="Z215" s="301">
        <v>1.2785</v>
      </c>
      <c r="AA215" s="301">
        <v>6.2779</v>
      </c>
      <c r="AB215" s="301">
        <v>0.0751</v>
      </c>
      <c r="AC215" s="301">
        <v>0.2368</v>
      </c>
      <c r="AD215" s="301">
        <v>0.3997</v>
      </c>
      <c r="AE215" s="301">
        <v>1.8391</v>
      </c>
      <c r="AF215" s="301">
        <v>1.0245</v>
      </c>
      <c r="AG215" s="301">
        <v>0.1047</v>
      </c>
      <c r="AH215" s="301">
        <v>3.5856</v>
      </c>
      <c r="AI215" s="301">
        <v>0.2862</v>
      </c>
      <c r="AJ215" s="301">
        <v>0.5049</v>
      </c>
      <c r="AK215" s="301">
        <v>5.0864</v>
      </c>
      <c r="AL215" s="302">
        <v>212</v>
      </c>
      <c r="AM215" t="s">
        <v>411</v>
      </c>
    </row>
    <row r="216" spans="1:39" ht="12.75">
      <c r="A216" s="441">
        <v>40850</v>
      </c>
      <c r="B216" s="301">
        <v>0.1034</v>
      </c>
      <c r="C216" s="301">
        <v>3.18</v>
      </c>
      <c r="D216" s="301">
        <v>3.2747</v>
      </c>
      <c r="E216" s="301">
        <v>0.4092</v>
      </c>
      <c r="F216" s="301">
        <v>3.136</v>
      </c>
      <c r="G216" s="301">
        <v>2.5049</v>
      </c>
      <c r="H216" s="301">
        <v>2.4917</v>
      </c>
      <c r="I216" s="301">
        <v>4.3809</v>
      </c>
      <c r="J216" s="301">
        <v>1.4317</v>
      </c>
      <c r="K216" s="301">
        <v>3.6082</v>
      </c>
      <c r="L216" s="301">
        <v>5.0722</v>
      </c>
      <c r="M216" s="301">
        <v>0.3962</v>
      </c>
      <c r="N216" s="301">
        <v>4.0758</v>
      </c>
      <c r="O216" s="301">
        <v>0.1741</v>
      </c>
      <c r="P216" s="301">
        <v>0.5887</v>
      </c>
      <c r="R216" s="301">
        <v>2.7678</v>
      </c>
      <c r="S216" s="301">
        <v>0.5635</v>
      </c>
      <c r="U216" s="301">
        <v>0.4827</v>
      </c>
      <c r="V216" s="301">
        <v>0.5847</v>
      </c>
      <c r="W216" s="301">
        <v>1.0054</v>
      </c>
      <c r="X216" s="301">
        <v>2.24</v>
      </c>
      <c r="Y216" s="301">
        <v>1.7837</v>
      </c>
      <c r="Z216" s="301">
        <v>1.2688</v>
      </c>
      <c r="AA216" s="301">
        <v>6.2317</v>
      </c>
      <c r="AB216" s="301">
        <v>0.0737</v>
      </c>
      <c r="AC216" s="301">
        <v>0.2344</v>
      </c>
      <c r="AD216" s="301">
        <v>0.3986</v>
      </c>
      <c r="AE216" s="301">
        <v>1.8318</v>
      </c>
      <c r="AF216" s="301">
        <v>1.012</v>
      </c>
      <c r="AG216" s="301">
        <v>0.1035</v>
      </c>
      <c r="AH216" s="301">
        <v>3.5387</v>
      </c>
      <c r="AI216" s="301">
        <v>0.282</v>
      </c>
      <c r="AJ216" s="301">
        <v>0.5006</v>
      </c>
      <c r="AK216" s="301">
        <v>4.9978</v>
      </c>
      <c r="AL216" s="302">
        <v>213</v>
      </c>
      <c r="AM216" t="s">
        <v>411</v>
      </c>
    </row>
    <row r="217" spans="1:39" ht="12.75">
      <c r="A217" s="441">
        <v>40851</v>
      </c>
      <c r="B217" s="301">
        <v>0.1024</v>
      </c>
      <c r="C217" s="301">
        <v>3.1385</v>
      </c>
      <c r="D217" s="301">
        <v>3.2626</v>
      </c>
      <c r="E217" s="301">
        <v>0.4041</v>
      </c>
      <c r="F217" s="301">
        <v>3.098</v>
      </c>
      <c r="G217" s="301">
        <v>2.4923</v>
      </c>
      <c r="H217" s="301">
        <v>2.4774</v>
      </c>
      <c r="I217" s="301">
        <v>4.3464</v>
      </c>
      <c r="J217" s="301">
        <v>1.4304</v>
      </c>
      <c r="K217" s="301">
        <v>3.5574</v>
      </c>
      <c r="L217" s="301">
        <v>5.0259</v>
      </c>
      <c r="M217" s="301">
        <v>0.3912</v>
      </c>
      <c r="N217" s="301">
        <v>4.023</v>
      </c>
      <c r="O217" s="301">
        <v>0.1738</v>
      </c>
      <c r="P217" s="301">
        <v>0.584</v>
      </c>
      <c r="R217" s="301">
        <v>2.7452</v>
      </c>
      <c r="S217" s="301">
        <v>0.5615</v>
      </c>
      <c r="U217" s="301">
        <v>0.4785</v>
      </c>
      <c r="V217" s="301">
        <v>0.58</v>
      </c>
      <c r="W217" s="301">
        <v>0.9989</v>
      </c>
      <c r="X217" s="301">
        <v>2.2223</v>
      </c>
      <c r="Y217" s="301">
        <v>1.7907</v>
      </c>
      <c r="Z217" s="301">
        <v>1.2588</v>
      </c>
      <c r="AA217" s="301">
        <v>6.1835</v>
      </c>
      <c r="AB217" s="301">
        <v>0.0732</v>
      </c>
      <c r="AC217" s="301">
        <v>0.2349</v>
      </c>
      <c r="AD217" s="301">
        <v>0.4012</v>
      </c>
      <c r="AE217" s="301">
        <v>1.8072</v>
      </c>
      <c r="AF217" s="301">
        <v>1.0082</v>
      </c>
      <c r="AG217" s="301">
        <v>0.1029</v>
      </c>
      <c r="AH217" s="301">
        <v>3.5094</v>
      </c>
      <c r="AI217" s="301">
        <v>0.2826</v>
      </c>
      <c r="AJ217" s="301">
        <v>0.4951</v>
      </c>
      <c r="AK217" s="301">
        <v>4.9759</v>
      </c>
      <c r="AL217" s="302">
        <v>214</v>
      </c>
      <c r="AM217" t="s">
        <v>411</v>
      </c>
    </row>
    <row r="218" spans="1:39" ht="12.75">
      <c r="A218" s="441">
        <v>40854</v>
      </c>
      <c r="B218" s="301">
        <v>0.1039</v>
      </c>
      <c r="C218" s="301">
        <v>3.1913</v>
      </c>
      <c r="D218" s="301">
        <v>3.2845</v>
      </c>
      <c r="E218" s="301">
        <v>0.4109</v>
      </c>
      <c r="F218" s="301">
        <v>3.1323</v>
      </c>
      <c r="G218" s="301">
        <v>2.5299</v>
      </c>
      <c r="H218" s="301">
        <v>2.5075</v>
      </c>
      <c r="I218" s="301">
        <v>4.3764</v>
      </c>
      <c r="J218" s="301">
        <v>1.4256</v>
      </c>
      <c r="K218" s="301">
        <v>3.5393</v>
      </c>
      <c r="L218" s="301">
        <v>5.1084</v>
      </c>
      <c r="M218" s="301">
        <v>0.398</v>
      </c>
      <c r="N218" s="301">
        <v>4.0891</v>
      </c>
      <c r="O218" s="301">
        <v>0.1752</v>
      </c>
      <c r="P218" s="301">
        <v>0.588</v>
      </c>
      <c r="R218" s="301">
        <v>2.7718</v>
      </c>
      <c r="S218" s="301">
        <v>0.5652</v>
      </c>
      <c r="U218" s="301">
        <v>0.4818</v>
      </c>
      <c r="V218" s="301">
        <v>0.5839</v>
      </c>
      <c r="W218" s="301">
        <v>1.0048</v>
      </c>
      <c r="X218" s="301">
        <v>2.2377</v>
      </c>
      <c r="Y218" s="301">
        <v>1.7914</v>
      </c>
      <c r="Z218" s="301">
        <v>1.2675</v>
      </c>
      <c r="AA218" s="301">
        <v>6.2298</v>
      </c>
      <c r="AB218" s="301">
        <v>0.0744</v>
      </c>
      <c r="AC218" s="301">
        <v>0.2357</v>
      </c>
      <c r="AD218" s="301">
        <v>0.4</v>
      </c>
      <c r="AE218" s="301">
        <v>1.8215</v>
      </c>
      <c r="AF218" s="301">
        <v>1.0223</v>
      </c>
      <c r="AG218" s="301">
        <v>0.104</v>
      </c>
      <c r="AH218" s="301">
        <v>3.5534</v>
      </c>
      <c r="AI218" s="301">
        <v>0.285</v>
      </c>
      <c r="AJ218" s="301">
        <v>0.5027</v>
      </c>
      <c r="AK218" s="301">
        <v>5.0148</v>
      </c>
      <c r="AL218" s="302">
        <v>215</v>
      </c>
      <c r="AM218" t="s">
        <v>411</v>
      </c>
    </row>
    <row r="219" spans="1:39" ht="12.75">
      <c r="A219" s="441">
        <v>40855</v>
      </c>
      <c r="B219" s="301">
        <v>0.1033</v>
      </c>
      <c r="C219" s="301">
        <v>3.1681</v>
      </c>
      <c r="D219" s="301">
        <v>3.2683</v>
      </c>
      <c r="E219" s="301">
        <v>0.4077</v>
      </c>
      <c r="F219" s="301">
        <v>3.1187</v>
      </c>
      <c r="G219" s="301">
        <v>2.5203</v>
      </c>
      <c r="H219" s="301">
        <v>2.4909</v>
      </c>
      <c r="I219" s="301">
        <v>4.3619</v>
      </c>
      <c r="J219" s="301">
        <v>1.4162</v>
      </c>
      <c r="K219" s="301">
        <v>3.5117</v>
      </c>
      <c r="L219" s="301">
        <v>5.0924</v>
      </c>
      <c r="M219" s="301">
        <v>0.3952</v>
      </c>
      <c r="N219" s="301">
        <v>4.0614</v>
      </c>
      <c r="O219" s="301">
        <v>0.1731</v>
      </c>
      <c r="P219" s="301">
        <v>0.5859</v>
      </c>
      <c r="R219" s="301">
        <v>2.7609</v>
      </c>
      <c r="S219" s="301">
        <v>0.5642</v>
      </c>
      <c r="U219" s="301">
        <v>0.4818</v>
      </c>
      <c r="V219" s="301">
        <v>0.5819</v>
      </c>
      <c r="W219" s="301">
        <v>1.0016</v>
      </c>
      <c r="X219" s="301">
        <v>2.2302</v>
      </c>
      <c r="Y219" s="301">
        <v>1.7825</v>
      </c>
      <c r="Z219" s="301">
        <v>1.2633</v>
      </c>
      <c r="AA219" s="301">
        <v>6.2065</v>
      </c>
      <c r="AB219" s="301">
        <v>0.0735</v>
      </c>
      <c r="AC219" s="301">
        <v>0.2364</v>
      </c>
      <c r="AD219" s="301">
        <v>0.3991</v>
      </c>
      <c r="AE219" s="301">
        <v>1.8148</v>
      </c>
      <c r="AF219" s="301">
        <v>1.0134</v>
      </c>
      <c r="AG219" s="301">
        <v>0.1042</v>
      </c>
      <c r="AH219" s="301">
        <v>3.5338</v>
      </c>
      <c r="AI219" s="301">
        <v>0.2834</v>
      </c>
      <c r="AJ219" s="301">
        <v>0.4994</v>
      </c>
      <c r="AK219" s="301">
        <v>4.9986</v>
      </c>
      <c r="AL219" s="302">
        <v>216</v>
      </c>
      <c r="AM219" t="s">
        <v>411</v>
      </c>
    </row>
    <row r="220" spans="1:39" ht="12.75">
      <c r="A220" s="441">
        <v>40856</v>
      </c>
      <c r="B220" s="301">
        <v>0.1041</v>
      </c>
      <c r="C220" s="301">
        <v>3.1925</v>
      </c>
      <c r="D220" s="301">
        <v>3.2707</v>
      </c>
      <c r="E220" s="301">
        <v>0.4109</v>
      </c>
      <c r="F220" s="301">
        <v>3.1404</v>
      </c>
      <c r="G220" s="301">
        <v>2.5141</v>
      </c>
      <c r="H220" s="301">
        <v>2.4933</v>
      </c>
      <c r="I220" s="301">
        <v>4.3757</v>
      </c>
      <c r="J220" s="301">
        <v>1.4092</v>
      </c>
      <c r="K220" s="301">
        <v>3.5459</v>
      </c>
      <c r="L220" s="301">
        <v>5.1118</v>
      </c>
      <c r="M220" s="301">
        <v>0.3985</v>
      </c>
      <c r="N220" s="301">
        <v>4.1121</v>
      </c>
      <c r="O220" s="301">
        <v>0.1727</v>
      </c>
      <c r="P220" s="301">
        <v>0.5877</v>
      </c>
      <c r="R220" s="301">
        <v>2.7605</v>
      </c>
      <c r="S220" s="301">
        <v>0.5646</v>
      </c>
      <c r="U220" s="301">
        <v>0.4832</v>
      </c>
      <c r="V220" s="301">
        <v>0.5845</v>
      </c>
      <c r="W220" s="301">
        <v>1.0041</v>
      </c>
      <c r="X220" s="301">
        <v>2.2373</v>
      </c>
      <c r="Y220" s="301">
        <v>1.7813</v>
      </c>
      <c r="Z220" s="301">
        <v>1.2673</v>
      </c>
      <c r="AA220" s="301">
        <v>6.227</v>
      </c>
      <c r="AB220" s="301">
        <v>0.0742</v>
      </c>
      <c r="AC220" s="301">
        <v>0.2369</v>
      </c>
      <c r="AD220" s="301">
        <v>0.4005</v>
      </c>
      <c r="AE220" s="301">
        <v>1.8429</v>
      </c>
      <c r="AF220" s="301">
        <v>1.0244</v>
      </c>
      <c r="AG220" s="301">
        <v>0.1053</v>
      </c>
      <c r="AH220" s="301">
        <v>3.5737</v>
      </c>
      <c r="AI220" s="301">
        <v>0.2853</v>
      </c>
      <c r="AJ220" s="301">
        <v>0.5036</v>
      </c>
      <c r="AK220" s="301">
        <v>4.9996</v>
      </c>
      <c r="AL220" s="302">
        <v>217</v>
      </c>
      <c r="AM220" t="s">
        <v>411</v>
      </c>
    </row>
    <row r="221" spans="1:39" ht="12.75">
      <c r="A221" s="441">
        <v>40857</v>
      </c>
      <c r="B221" s="301">
        <v>0.1047</v>
      </c>
      <c r="C221" s="301">
        <v>3.2213</v>
      </c>
      <c r="D221" s="301">
        <v>3.2648</v>
      </c>
      <c r="E221" s="301">
        <v>0.4139</v>
      </c>
      <c r="F221" s="301">
        <v>3.1499</v>
      </c>
      <c r="G221" s="301">
        <v>2.509</v>
      </c>
      <c r="H221" s="301">
        <v>2.4936</v>
      </c>
      <c r="I221" s="301">
        <v>4.3807</v>
      </c>
      <c r="J221" s="301">
        <v>1.4177</v>
      </c>
      <c r="K221" s="301">
        <v>3.5519</v>
      </c>
      <c r="L221" s="301">
        <v>5.1287</v>
      </c>
      <c r="M221" s="301">
        <v>0.4011</v>
      </c>
      <c r="N221" s="301">
        <v>4.1423</v>
      </c>
      <c r="O221" s="301">
        <v>0.172</v>
      </c>
      <c r="P221" s="301">
        <v>0.5886</v>
      </c>
      <c r="R221" s="301">
        <v>2.7656</v>
      </c>
      <c r="S221" s="301">
        <v>0.5655</v>
      </c>
      <c r="U221" s="301">
        <v>0.4839</v>
      </c>
      <c r="V221" s="301">
        <v>0.585</v>
      </c>
      <c r="W221" s="301">
        <v>1.0058</v>
      </c>
      <c r="X221" s="301">
        <v>2.2399</v>
      </c>
      <c r="Y221" s="301">
        <v>1.8032</v>
      </c>
      <c r="Z221" s="301">
        <v>1.2687</v>
      </c>
      <c r="AA221" s="301">
        <v>6.2479</v>
      </c>
      <c r="AB221" s="301">
        <v>0.0743</v>
      </c>
      <c r="AC221" s="301">
        <v>0.2374</v>
      </c>
      <c r="AD221" s="301">
        <v>0.4027</v>
      </c>
      <c r="AE221" s="301">
        <v>1.8099</v>
      </c>
      <c r="AF221" s="301">
        <v>1.022</v>
      </c>
      <c r="AG221" s="301">
        <v>0.1052</v>
      </c>
      <c r="AH221" s="301">
        <v>3.5808</v>
      </c>
      <c r="AI221" s="301">
        <v>0.2842</v>
      </c>
      <c r="AJ221" s="301">
        <v>0.5075</v>
      </c>
      <c r="AK221" s="301">
        <v>5.0442</v>
      </c>
      <c r="AL221" s="302">
        <v>218</v>
      </c>
      <c r="AM221" t="s">
        <v>411</v>
      </c>
    </row>
    <row r="222" spans="1:39" ht="12.75">
      <c r="A222" s="441">
        <v>40861</v>
      </c>
      <c r="B222" s="301">
        <v>0.1045</v>
      </c>
      <c r="C222" s="301">
        <v>3.2132</v>
      </c>
      <c r="D222" s="301">
        <v>3.2988</v>
      </c>
      <c r="E222" s="301">
        <v>0.4132</v>
      </c>
      <c r="F222" s="301">
        <v>3.1605</v>
      </c>
      <c r="G222" s="301">
        <v>2.521</v>
      </c>
      <c r="H222" s="301">
        <v>2.5003</v>
      </c>
      <c r="I222" s="301">
        <v>4.4022</v>
      </c>
      <c r="J222" s="301">
        <v>1.3955</v>
      </c>
      <c r="K222" s="301">
        <v>3.5583</v>
      </c>
      <c r="L222" s="301">
        <v>5.1239</v>
      </c>
      <c r="M222" s="301">
        <v>0.4009</v>
      </c>
      <c r="N222" s="301">
        <v>4.1818</v>
      </c>
      <c r="O222" s="301">
        <v>0.1704</v>
      </c>
      <c r="P222" s="301">
        <v>0.5915</v>
      </c>
      <c r="R222" s="301">
        <v>2.7716</v>
      </c>
      <c r="S222" s="301">
        <v>0.5685</v>
      </c>
      <c r="U222" s="301">
        <v>0.4836</v>
      </c>
      <c r="V222" s="301">
        <v>0.5888</v>
      </c>
      <c r="W222" s="301">
        <v>1.013</v>
      </c>
      <c r="X222" s="301">
        <v>2.2508</v>
      </c>
      <c r="Y222" s="301">
        <v>1.8063</v>
      </c>
      <c r="Z222" s="301">
        <v>1.2749</v>
      </c>
      <c r="AA222" s="301">
        <v>6.2808</v>
      </c>
      <c r="AB222" s="301">
        <v>0.0743</v>
      </c>
      <c r="AC222" s="301">
        <v>0.2383</v>
      </c>
      <c r="AD222" s="301">
        <v>0.4039</v>
      </c>
      <c r="AE222" s="301">
        <v>1.8446</v>
      </c>
      <c r="AF222" s="301">
        <v>1.025</v>
      </c>
      <c r="AG222" s="301">
        <v>0.1056</v>
      </c>
      <c r="AH222" s="301">
        <v>3.5871</v>
      </c>
      <c r="AI222" s="301">
        <v>0.2858</v>
      </c>
      <c r="AJ222" s="301">
        <v>0.5057</v>
      </c>
      <c r="AK222" s="301">
        <v>5.0625</v>
      </c>
      <c r="AL222" s="302">
        <v>219</v>
      </c>
      <c r="AM222" t="s">
        <v>411</v>
      </c>
    </row>
    <row r="223" spans="1:39" ht="12.75">
      <c r="A223" s="441">
        <v>40862</v>
      </c>
      <c r="B223" s="301">
        <v>0.1055</v>
      </c>
      <c r="C223" s="301">
        <v>3.2526</v>
      </c>
      <c r="D223" s="301">
        <v>3.3009</v>
      </c>
      <c r="E223" s="301">
        <v>0.4178</v>
      </c>
      <c r="F223" s="301">
        <v>3.1806</v>
      </c>
      <c r="G223" s="301">
        <v>2.5077</v>
      </c>
      <c r="H223" s="301">
        <v>2.5149</v>
      </c>
      <c r="I223" s="301">
        <v>4.4064</v>
      </c>
      <c r="J223" s="301">
        <v>1.3935</v>
      </c>
      <c r="K223" s="301">
        <v>3.5531</v>
      </c>
      <c r="L223" s="301">
        <v>5.1615</v>
      </c>
      <c r="M223" s="301">
        <v>0.4056</v>
      </c>
      <c r="N223" s="301">
        <v>4.2205</v>
      </c>
      <c r="O223" s="301">
        <v>0.1711</v>
      </c>
      <c r="P223" s="301">
        <v>0.592</v>
      </c>
      <c r="R223" s="301">
        <v>2.7729</v>
      </c>
      <c r="S223" s="301">
        <v>0.5656</v>
      </c>
      <c r="U223" s="301">
        <v>0.4822</v>
      </c>
      <c r="V223" s="301">
        <v>0.5885</v>
      </c>
      <c r="W223" s="301">
        <v>1.0115</v>
      </c>
      <c r="X223" s="301">
        <v>2.253</v>
      </c>
      <c r="Y223" s="301">
        <v>1.8148</v>
      </c>
      <c r="Z223" s="301">
        <v>1.2762</v>
      </c>
      <c r="AA223" s="301">
        <v>6.2895</v>
      </c>
      <c r="AB223" s="301">
        <v>0.075</v>
      </c>
      <c r="AC223" s="301">
        <v>0.2405</v>
      </c>
      <c r="AD223" s="301">
        <v>0.4021</v>
      </c>
      <c r="AE223" s="301">
        <v>1.8403</v>
      </c>
      <c r="AF223" s="301">
        <v>1.0311</v>
      </c>
      <c r="AG223" s="301">
        <v>0.1059</v>
      </c>
      <c r="AH223" s="301">
        <v>3.6121</v>
      </c>
      <c r="AI223" s="301">
        <v>0.288</v>
      </c>
      <c r="AJ223" s="301">
        <v>0.5124</v>
      </c>
      <c r="AK223" s="301">
        <v>5.0716</v>
      </c>
      <c r="AL223" s="302">
        <v>220</v>
      </c>
      <c r="AM223" t="s">
        <v>411</v>
      </c>
    </row>
    <row r="224" spans="1:39" ht="12.75">
      <c r="A224" s="441">
        <v>40863</v>
      </c>
      <c r="B224" s="301">
        <v>0.1058</v>
      </c>
      <c r="C224" s="301">
        <v>3.2621</v>
      </c>
      <c r="D224" s="301">
        <v>3.3166</v>
      </c>
      <c r="E224" s="301">
        <v>0.419</v>
      </c>
      <c r="F224" s="301">
        <v>3.1905</v>
      </c>
      <c r="G224" s="301">
        <v>2.516</v>
      </c>
      <c r="H224" s="301">
        <v>2.5291</v>
      </c>
      <c r="I224" s="301">
        <v>4.4155</v>
      </c>
      <c r="J224" s="301">
        <v>1.4096</v>
      </c>
      <c r="K224" s="301">
        <v>3.5639</v>
      </c>
      <c r="L224" s="301">
        <v>5.1475</v>
      </c>
      <c r="M224" s="301">
        <v>0.407</v>
      </c>
      <c r="N224" s="301">
        <v>4.2398</v>
      </c>
      <c r="O224" s="301">
        <v>0.1728</v>
      </c>
      <c r="P224" s="301">
        <v>0.5933</v>
      </c>
      <c r="R224" s="301">
        <v>2.7773</v>
      </c>
      <c r="S224" s="301">
        <v>0.5675</v>
      </c>
      <c r="U224" s="301">
        <v>0.4838</v>
      </c>
      <c r="V224" s="301">
        <v>0.59</v>
      </c>
      <c r="W224" s="301">
        <v>1.0137</v>
      </c>
      <c r="X224" s="301">
        <v>2.2576</v>
      </c>
      <c r="Y224" s="301">
        <v>1.8133</v>
      </c>
      <c r="Z224" s="301">
        <v>1.2788</v>
      </c>
      <c r="AA224" s="301">
        <v>6.3047</v>
      </c>
      <c r="AB224" s="301">
        <v>0.0751</v>
      </c>
      <c r="AC224" s="301">
        <v>0.2413</v>
      </c>
      <c r="AD224" s="301">
        <v>0.3995</v>
      </c>
      <c r="AE224" s="301">
        <v>1.844</v>
      </c>
      <c r="AF224" s="301">
        <v>1.0349</v>
      </c>
      <c r="AG224" s="301">
        <v>0.1063</v>
      </c>
      <c r="AH224" s="301">
        <v>3.6105</v>
      </c>
      <c r="AI224" s="301">
        <v>0.2873</v>
      </c>
      <c r="AJ224" s="301">
        <v>0.514</v>
      </c>
      <c r="AK224" s="301">
        <v>5.1098</v>
      </c>
      <c r="AL224" s="302">
        <v>221</v>
      </c>
      <c r="AM224" t="s">
        <v>411</v>
      </c>
    </row>
    <row r="225" spans="1:39" ht="12.75">
      <c r="A225" s="441">
        <v>40864</v>
      </c>
      <c r="B225" s="301">
        <v>0.107</v>
      </c>
      <c r="C225" s="301">
        <v>3.2965</v>
      </c>
      <c r="D225" s="301">
        <v>3.318</v>
      </c>
      <c r="E225" s="301">
        <v>0.4235</v>
      </c>
      <c r="F225" s="301">
        <v>3.2182</v>
      </c>
      <c r="G225" s="301">
        <v>2.5206</v>
      </c>
      <c r="H225" s="301">
        <v>2.5477</v>
      </c>
      <c r="I225" s="301">
        <v>4.4387</v>
      </c>
      <c r="J225" s="301">
        <v>1.414</v>
      </c>
      <c r="K225" s="301">
        <v>3.5773</v>
      </c>
      <c r="L225" s="301">
        <v>5.1918</v>
      </c>
      <c r="M225" s="301">
        <v>0.411</v>
      </c>
      <c r="N225" s="301">
        <v>4.2826</v>
      </c>
      <c r="O225" s="301">
        <v>0.173</v>
      </c>
      <c r="P225" s="301">
        <v>0.5964</v>
      </c>
      <c r="R225" s="301">
        <v>2.7947</v>
      </c>
      <c r="S225" s="301">
        <v>0.5686</v>
      </c>
      <c r="U225" s="301">
        <v>0.4843</v>
      </c>
      <c r="V225" s="301">
        <v>0.5921</v>
      </c>
      <c r="W225" s="301">
        <v>1.0178</v>
      </c>
      <c r="X225" s="301">
        <v>2.2695</v>
      </c>
      <c r="Y225" s="301">
        <v>1.8242</v>
      </c>
      <c r="Z225" s="301">
        <v>1.2855</v>
      </c>
      <c r="AA225" s="301">
        <v>6.3135</v>
      </c>
      <c r="AB225" s="301">
        <v>0.076</v>
      </c>
      <c r="AC225" s="301">
        <v>0.2417</v>
      </c>
      <c r="AD225" s="301">
        <v>0.403</v>
      </c>
      <c r="AE225" s="301">
        <v>1.8632</v>
      </c>
      <c r="AF225" s="301">
        <v>1.0444</v>
      </c>
      <c r="AG225" s="301">
        <v>0.1071</v>
      </c>
      <c r="AH225" s="301">
        <v>3.6476</v>
      </c>
      <c r="AI225" s="301">
        <v>0.2908</v>
      </c>
      <c r="AJ225" s="301">
        <v>0.5191</v>
      </c>
      <c r="AK225" s="301">
        <v>5.1419</v>
      </c>
      <c r="AL225" s="302">
        <v>222</v>
      </c>
      <c r="AM225" t="s">
        <v>411</v>
      </c>
    </row>
    <row r="226" spans="1:39" ht="12.75">
      <c r="A226" s="441">
        <v>40865</v>
      </c>
      <c r="B226" s="301">
        <v>0.1057</v>
      </c>
      <c r="C226" s="301">
        <v>3.2718</v>
      </c>
      <c r="D226" s="301">
        <v>3.2822</v>
      </c>
      <c r="E226" s="301">
        <v>0.42</v>
      </c>
      <c r="F226" s="301">
        <v>3.1885</v>
      </c>
      <c r="G226" s="301">
        <v>2.4872</v>
      </c>
      <c r="H226" s="301">
        <v>2.5268</v>
      </c>
      <c r="I226" s="301">
        <v>4.4283</v>
      </c>
      <c r="J226" s="301">
        <v>1.4338</v>
      </c>
      <c r="K226" s="301">
        <v>3.5812</v>
      </c>
      <c r="L226" s="301">
        <v>5.182</v>
      </c>
      <c r="M226" s="301">
        <v>0.4086</v>
      </c>
      <c r="N226" s="301">
        <v>4.2654</v>
      </c>
      <c r="O226" s="301">
        <v>0.1737</v>
      </c>
      <c r="P226" s="301">
        <v>0.595</v>
      </c>
      <c r="R226" s="301">
        <v>2.785</v>
      </c>
      <c r="S226" s="301">
        <v>0.5659</v>
      </c>
      <c r="U226" s="301">
        <v>0.4829</v>
      </c>
      <c r="V226" s="301">
        <v>0.5908</v>
      </c>
      <c r="W226" s="301">
        <v>1.0152</v>
      </c>
      <c r="X226" s="301">
        <v>2.2642</v>
      </c>
      <c r="Y226" s="301">
        <v>1.8027</v>
      </c>
      <c r="Z226" s="301">
        <v>1.2825</v>
      </c>
      <c r="AA226" s="301">
        <v>6.2969</v>
      </c>
      <c r="AB226" s="301">
        <v>0.0753</v>
      </c>
      <c r="AC226" s="301">
        <v>0.2392</v>
      </c>
      <c r="AD226" s="301">
        <v>0.3996</v>
      </c>
      <c r="AE226" s="301">
        <v>1.8391</v>
      </c>
      <c r="AF226" s="301">
        <v>1.0342</v>
      </c>
      <c r="AG226" s="301">
        <v>0.106</v>
      </c>
      <c r="AH226" s="301">
        <v>3.6084</v>
      </c>
      <c r="AI226" s="301">
        <v>0.2872</v>
      </c>
      <c r="AJ226" s="301">
        <v>0.5145</v>
      </c>
      <c r="AK226" s="301">
        <v>5.1304</v>
      </c>
      <c r="AL226" s="302">
        <v>223</v>
      </c>
      <c r="AM226" t="s">
        <v>411</v>
      </c>
    </row>
    <row r="227" spans="1:39" ht="12.75">
      <c r="A227" s="441">
        <v>40868</v>
      </c>
      <c r="B227" s="301">
        <v>0.106</v>
      </c>
      <c r="C227" s="301">
        <v>3.2984</v>
      </c>
      <c r="D227" s="301">
        <v>3.2689</v>
      </c>
      <c r="E227" s="301">
        <v>0.4234</v>
      </c>
      <c r="F227" s="301">
        <v>3.1923</v>
      </c>
      <c r="G227" s="301">
        <v>2.4773</v>
      </c>
      <c r="H227" s="301">
        <v>2.533</v>
      </c>
      <c r="I227" s="301">
        <v>4.4366</v>
      </c>
      <c r="J227" s="301">
        <v>1.4516</v>
      </c>
      <c r="K227" s="301">
        <v>3.5841</v>
      </c>
      <c r="L227" s="301">
        <v>5.1775</v>
      </c>
      <c r="M227" s="301">
        <v>0.4111</v>
      </c>
      <c r="N227" s="301">
        <v>4.2934</v>
      </c>
      <c r="O227" s="301">
        <v>0.1737</v>
      </c>
      <c r="P227" s="301">
        <v>0.5961</v>
      </c>
      <c r="R227" s="301">
        <v>2.7841</v>
      </c>
      <c r="S227" s="301">
        <v>0.5669</v>
      </c>
      <c r="U227" s="301">
        <v>0.4842</v>
      </c>
      <c r="V227" s="301">
        <v>0.592</v>
      </c>
      <c r="W227" s="301">
        <v>1.0163</v>
      </c>
      <c r="X227" s="301">
        <v>2.2684</v>
      </c>
      <c r="Y227" s="301">
        <v>1.7909</v>
      </c>
      <c r="Z227" s="301">
        <v>1.2849</v>
      </c>
      <c r="AA227" s="301">
        <v>6.3087</v>
      </c>
      <c r="AB227" s="301">
        <v>0.0762</v>
      </c>
      <c r="AC227" s="301">
        <v>0.2375</v>
      </c>
      <c r="AD227" s="301">
        <v>0.3987</v>
      </c>
      <c r="AE227" s="301">
        <v>1.8466</v>
      </c>
      <c r="AF227" s="301">
        <v>1.0356</v>
      </c>
      <c r="AG227" s="301">
        <v>0.1061</v>
      </c>
      <c r="AH227" s="301">
        <v>3.6285</v>
      </c>
      <c r="AI227" s="301">
        <v>0.2883</v>
      </c>
      <c r="AJ227" s="301">
        <v>0.5184</v>
      </c>
      <c r="AK227" s="301">
        <v>5.1282</v>
      </c>
      <c r="AL227" s="302">
        <v>224</v>
      </c>
      <c r="AM227" t="s">
        <v>411</v>
      </c>
    </row>
    <row r="228" spans="1:39" ht="12.75">
      <c r="A228" s="441">
        <v>40869</v>
      </c>
      <c r="B228" s="301">
        <v>0.1054</v>
      </c>
      <c r="C228" s="301">
        <v>3.288</v>
      </c>
      <c r="D228" s="301">
        <v>3.2379</v>
      </c>
      <c r="E228" s="301">
        <v>0.422</v>
      </c>
      <c r="F228" s="301">
        <v>3.1618</v>
      </c>
      <c r="G228" s="301">
        <v>2.4584</v>
      </c>
      <c r="H228" s="301">
        <v>2.5248</v>
      </c>
      <c r="I228" s="301">
        <v>4.4447</v>
      </c>
      <c r="J228" s="301">
        <v>1.4554</v>
      </c>
      <c r="K228" s="301">
        <v>3.5985</v>
      </c>
      <c r="L228" s="301">
        <v>5.1375</v>
      </c>
      <c r="M228" s="301">
        <v>0.41</v>
      </c>
      <c r="N228" s="301">
        <v>4.2735</v>
      </c>
      <c r="O228" s="301">
        <v>0.1743</v>
      </c>
      <c r="P228" s="301">
        <v>0.5972</v>
      </c>
      <c r="R228" s="301">
        <v>2.7838</v>
      </c>
      <c r="S228" s="301">
        <v>0.5683</v>
      </c>
      <c r="U228" s="301">
        <v>0.4831</v>
      </c>
      <c r="V228" s="301">
        <v>0.5935</v>
      </c>
      <c r="W228" s="301">
        <v>1.0197</v>
      </c>
      <c r="X228" s="301">
        <v>2.2726</v>
      </c>
      <c r="Y228" s="301">
        <v>1.7839</v>
      </c>
      <c r="Z228" s="301">
        <v>1.2872</v>
      </c>
      <c r="AA228" s="301">
        <v>6.3023</v>
      </c>
      <c r="AB228" s="301">
        <v>0.076</v>
      </c>
      <c r="AC228" s="301">
        <v>0.2346</v>
      </c>
      <c r="AD228" s="301">
        <v>0.3953</v>
      </c>
      <c r="AE228" s="301">
        <v>1.819</v>
      </c>
      <c r="AF228" s="301">
        <v>1.0346</v>
      </c>
      <c r="AG228" s="301">
        <v>0.1059</v>
      </c>
      <c r="AH228" s="301">
        <v>3.6085</v>
      </c>
      <c r="AI228" s="301">
        <v>0.2872</v>
      </c>
      <c r="AJ228" s="301">
        <v>0.5168</v>
      </c>
      <c r="AK228" s="301">
        <v>5.1523</v>
      </c>
      <c r="AL228" s="302">
        <v>225</v>
      </c>
      <c r="AM228" t="s">
        <v>411</v>
      </c>
    </row>
    <row r="229" spans="1:39" ht="12.75">
      <c r="A229" s="441">
        <v>40870</v>
      </c>
      <c r="B229" s="301">
        <v>0.1062</v>
      </c>
      <c r="C229" s="301">
        <v>3.3191</v>
      </c>
      <c r="D229" s="301">
        <v>3.2374</v>
      </c>
      <c r="E229" s="301">
        <v>0.4259</v>
      </c>
      <c r="F229" s="301">
        <v>3.1856</v>
      </c>
      <c r="G229" s="301">
        <v>2.4687</v>
      </c>
      <c r="H229" s="301">
        <v>2.5455</v>
      </c>
      <c r="I229" s="301">
        <v>4.4637</v>
      </c>
      <c r="J229" s="301">
        <v>1.4529</v>
      </c>
      <c r="K229" s="301">
        <v>3.6233</v>
      </c>
      <c r="L229" s="301">
        <v>5.1735</v>
      </c>
      <c r="M229" s="301">
        <v>0.4142</v>
      </c>
      <c r="N229" s="301">
        <v>4.3086</v>
      </c>
      <c r="O229" s="301">
        <v>0.1744</v>
      </c>
      <c r="P229" s="301">
        <v>0.5999</v>
      </c>
      <c r="R229" s="301">
        <v>2.7948</v>
      </c>
      <c r="S229" s="301">
        <v>0.5719</v>
      </c>
      <c r="U229" s="301">
        <v>0.4835</v>
      </c>
      <c r="V229" s="301">
        <v>0.5955</v>
      </c>
      <c r="W229" s="301">
        <v>1.0234</v>
      </c>
      <c r="X229" s="301">
        <v>2.2823</v>
      </c>
      <c r="Y229" s="301">
        <v>1.7874</v>
      </c>
      <c r="Z229" s="301">
        <v>1.2927</v>
      </c>
      <c r="AA229" s="301">
        <v>6.3495</v>
      </c>
      <c r="AB229" s="301">
        <v>0.0764</v>
      </c>
      <c r="AC229" s="301">
        <v>0.2367</v>
      </c>
      <c r="AD229" s="301">
        <v>0.3932</v>
      </c>
      <c r="AE229" s="301">
        <v>1.8262</v>
      </c>
      <c r="AF229" s="301">
        <v>1.044</v>
      </c>
      <c r="AG229" s="301">
        <v>0.1064</v>
      </c>
      <c r="AH229" s="301">
        <v>3.6279</v>
      </c>
      <c r="AI229" s="301">
        <v>0.2878</v>
      </c>
      <c r="AJ229" s="301">
        <v>0.522</v>
      </c>
      <c r="AK229" s="301">
        <v>5.1592</v>
      </c>
      <c r="AL229" s="302">
        <v>226</v>
      </c>
      <c r="AM229" t="s">
        <v>411</v>
      </c>
    </row>
    <row r="230" spans="1:39" ht="12.75">
      <c r="A230" s="441">
        <v>40871</v>
      </c>
      <c r="B230" s="301">
        <v>0.1072</v>
      </c>
      <c r="C230" s="301">
        <v>3.3486</v>
      </c>
      <c r="D230" s="301">
        <v>3.2743</v>
      </c>
      <c r="E230" s="301">
        <v>0.4295</v>
      </c>
      <c r="F230" s="301">
        <v>3.2064</v>
      </c>
      <c r="G230" s="301">
        <v>2.4935</v>
      </c>
      <c r="H230" s="301">
        <v>2.565</v>
      </c>
      <c r="I230" s="301">
        <v>4.4855</v>
      </c>
      <c r="J230" s="301">
        <v>1.4492</v>
      </c>
      <c r="K230" s="301">
        <v>3.646</v>
      </c>
      <c r="L230" s="301">
        <v>5.2096</v>
      </c>
      <c r="M230" s="301">
        <v>0.4176</v>
      </c>
      <c r="N230" s="301">
        <v>4.3416</v>
      </c>
      <c r="O230" s="301">
        <v>0.1748</v>
      </c>
      <c r="P230" s="301">
        <v>0.6032</v>
      </c>
      <c r="R230" s="301">
        <v>2.8128</v>
      </c>
      <c r="S230" s="301">
        <v>0.5737</v>
      </c>
      <c r="U230" s="301">
        <v>0.4861</v>
      </c>
      <c r="V230" s="301">
        <v>0.5985</v>
      </c>
      <c r="W230" s="301">
        <v>1.0307</v>
      </c>
      <c r="X230" s="301">
        <v>2.2934</v>
      </c>
      <c r="Y230" s="301">
        <v>1.8007</v>
      </c>
      <c r="Z230" s="301">
        <v>1.2991</v>
      </c>
      <c r="AA230" s="301">
        <v>6.4147</v>
      </c>
      <c r="AB230" s="301">
        <v>0.0767</v>
      </c>
      <c r="AC230" s="301">
        <v>0.2383</v>
      </c>
      <c r="AD230" s="301">
        <v>0.3935</v>
      </c>
      <c r="AE230" s="301">
        <v>1.7932</v>
      </c>
      <c r="AF230" s="301">
        <v>1.0517</v>
      </c>
      <c r="AG230" s="301">
        <v>0.1067</v>
      </c>
      <c r="AH230" s="301">
        <v>3.6497</v>
      </c>
      <c r="AI230" s="301">
        <v>0.2907</v>
      </c>
      <c r="AJ230" s="301">
        <v>0.5263</v>
      </c>
      <c r="AK230" s="301">
        <v>5.2143</v>
      </c>
      <c r="AL230" s="302">
        <v>227</v>
      </c>
      <c r="AM230" t="s">
        <v>411</v>
      </c>
    </row>
    <row r="231" spans="1:39" ht="12.75">
      <c r="A231" s="441">
        <v>40872</v>
      </c>
      <c r="B231" s="301">
        <v>0.1085</v>
      </c>
      <c r="C231" s="301">
        <v>3.4001</v>
      </c>
      <c r="D231" s="301">
        <v>3.2979</v>
      </c>
      <c r="E231" s="301">
        <v>0.4362</v>
      </c>
      <c r="F231" s="301">
        <v>3.2352</v>
      </c>
      <c r="G231" s="301">
        <v>2.5196</v>
      </c>
      <c r="H231" s="301">
        <v>2.5887</v>
      </c>
      <c r="I231" s="301">
        <v>4.513</v>
      </c>
      <c r="J231" s="301">
        <v>1.4269</v>
      </c>
      <c r="K231" s="301">
        <v>3.6739</v>
      </c>
      <c r="L231" s="301">
        <v>5.2614</v>
      </c>
      <c r="M231" s="301">
        <v>0.4237</v>
      </c>
      <c r="N231" s="301">
        <v>4.3937</v>
      </c>
      <c r="O231" s="301">
        <v>0.1745</v>
      </c>
      <c r="P231" s="301">
        <v>0.6069</v>
      </c>
      <c r="R231" s="301">
        <v>2.825</v>
      </c>
      <c r="S231" s="301">
        <v>0.5755</v>
      </c>
      <c r="U231" s="301">
        <v>0.4871</v>
      </c>
      <c r="V231" s="301">
        <v>0.6023</v>
      </c>
      <c r="W231" s="301">
        <v>1.0344</v>
      </c>
      <c r="X231" s="301">
        <v>2.3075</v>
      </c>
      <c r="Y231" s="301">
        <v>1.8062</v>
      </c>
      <c r="Z231" s="301">
        <v>1.307</v>
      </c>
      <c r="AA231" s="301">
        <v>6.4601</v>
      </c>
      <c r="AB231" s="301">
        <v>0.0774</v>
      </c>
      <c r="AC231" s="301">
        <v>0.2384</v>
      </c>
      <c r="AD231" s="301">
        <v>0.3982</v>
      </c>
      <c r="AE231" s="301">
        <v>1.7941</v>
      </c>
      <c r="AF231" s="301">
        <v>1.0642</v>
      </c>
      <c r="AG231" s="301">
        <v>0.1076</v>
      </c>
      <c r="AH231" s="301">
        <v>3.6721</v>
      </c>
      <c r="AI231" s="301">
        <v>0.2919</v>
      </c>
      <c r="AJ231" s="301">
        <v>0.5329</v>
      </c>
      <c r="AK231" s="301">
        <v>5.2463</v>
      </c>
      <c r="AL231" s="302">
        <v>228</v>
      </c>
      <c r="AM231" t="s">
        <v>411</v>
      </c>
    </row>
    <row r="232" spans="1:39" ht="12.75">
      <c r="A232" s="441">
        <v>40875</v>
      </c>
      <c r="B232" s="301">
        <v>0.1078</v>
      </c>
      <c r="C232" s="301">
        <v>3.3705</v>
      </c>
      <c r="D232" s="301">
        <v>3.347</v>
      </c>
      <c r="E232" s="301">
        <v>0.4323</v>
      </c>
      <c r="F232" s="301">
        <v>3.2566</v>
      </c>
      <c r="G232" s="301">
        <v>2.5486</v>
      </c>
      <c r="H232" s="301">
        <v>2.5936</v>
      </c>
      <c r="I232" s="301">
        <v>4.5071</v>
      </c>
      <c r="J232" s="301">
        <v>1.4586</v>
      </c>
      <c r="K232" s="301">
        <v>3.6654</v>
      </c>
      <c r="L232" s="301">
        <v>5.2402</v>
      </c>
      <c r="M232" s="301">
        <v>0.42</v>
      </c>
      <c r="N232" s="301">
        <v>4.3329</v>
      </c>
      <c r="O232" s="301">
        <v>0.1748</v>
      </c>
      <c r="P232" s="301">
        <v>0.606</v>
      </c>
      <c r="R232" s="301">
        <v>2.8211</v>
      </c>
      <c r="S232" s="301">
        <v>0.5759</v>
      </c>
      <c r="U232" s="301">
        <v>0.4878</v>
      </c>
      <c r="V232" s="301">
        <v>0.6011</v>
      </c>
      <c r="W232" s="301">
        <v>1.0343</v>
      </c>
      <c r="X232" s="301">
        <v>2.3045</v>
      </c>
      <c r="Y232" s="301">
        <v>1.8057</v>
      </c>
      <c r="Z232" s="301">
        <v>1.3053</v>
      </c>
      <c r="AA232" s="301">
        <v>6.4641</v>
      </c>
      <c r="AB232" s="301">
        <v>0.0769</v>
      </c>
      <c r="AC232" s="301">
        <v>0.2406</v>
      </c>
      <c r="AD232" s="301">
        <v>0.404</v>
      </c>
      <c r="AE232" s="301">
        <v>1.7803</v>
      </c>
      <c r="AF232" s="301">
        <v>1.0539</v>
      </c>
      <c r="AG232" s="301">
        <v>0.1077</v>
      </c>
      <c r="AH232" s="301">
        <v>3.653</v>
      </c>
      <c r="AI232" s="301">
        <v>0.2925</v>
      </c>
      <c r="AJ232" s="301">
        <v>0.5275</v>
      </c>
      <c r="AK232" s="301">
        <v>5.2394</v>
      </c>
      <c r="AL232" s="302">
        <v>229</v>
      </c>
      <c r="AM232" t="s">
        <v>411</v>
      </c>
    </row>
    <row r="233" spans="1:39" ht="12.75">
      <c r="A233" s="441">
        <v>40876</v>
      </c>
      <c r="B233" s="301">
        <v>0.1086</v>
      </c>
      <c r="C233" s="301">
        <v>3.3924</v>
      </c>
      <c r="D233" s="301">
        <v>3.3868</v>
      </c>
      <c r="E233" s="301">
        <v>0.4354</v>
      </c>
      <c r="F233" s="301">
        <v>3.2839</v>
      </c>
      <c r="G233" s="301">
        <v>2.5711</v>
      </c>
      <c r="H233" s="301">
        <v>2.6129</v>
      </c>
      <c r="I233" s="301">
        <v>4.5282</v>
      </c>
      <c r="J233" s="301">
        <v>1.4638</v>
      </c>
      <c r="K233" s="301">
        <v>3.6789</v>
      </c>
      <c r="L233" s="301">
        <v>5.2804</v>
      </c>
      <c r="M233" s="301">
        <v>0.4231</v>
      </c>
      <c r="N233" s="301">
        <v>4.3538</v>
      </c>
      <c r="O233" s="301">
        <v>0.1772</v>
      </c>
      <c r="P233" s="301">
        <v>0.6088</v>
      </c>
      <c r="R233" s="301">
        <v>2.8354</v>
      </c>
      <c r="S233" s="301">
        <v>0.5772</v>
      </c>
      <c r="U233" s="301">
        <v>0.4908</v>
      </c>
      <c r="V233" s="301">
        <v>0.604</v>
      </c>
      <c r="W233" s="301">
        <v>1.0413</v>
      </c>
      <c r="X233" s="301">
        <v>2.3153</v>
      </c>
      <c r="Y233" s="301">
        <v>1.8267</v>
      </c>
      <c r="Z233" s="301">
        <v>1.3114</v>
      </c>
      <c r="AA233" s="301">
        <v>6.4897</v>
      </c>
      <c r="AB233" s="301">
        <v>0.0778</v>
      </c>
      <c r="AC233" s="301">
        <v>0.2427</v>
      </c>
      <c r="AD233" s="301">
        <v>0.4058</v>
      </c>
      <c r="AE233" s="301">
        <v>1.8294</v>
      </c>
      <c r="AF233" s="301">
        <v>1.0669</v>
      </c>
      <c r="AG233" s="301">
        <v>0.1083</v>
      </c>
      <c r="AH233" s="301">
        <v>3.6939</v>
      </c>
      <c r="AI233" s="301">
        <v>0.2958</v>
      </c>
      <c r="AJ233" s="301">
        <v>0.5321</v>
      </c>
      <c r="AK233" s="301">
        <v>5.2719</v>
      </c>
      <c r="AL233" s="302">
        <v>230</v>
      </c>
      <c r="AM233" t="s">
        <v>411</v>
      </c>
    </row>
    <row r="234" spans="1:39" ht="12.75">
      <c r="A234" s="441">
        <v>40877</v>
      </c>
      <c r="B234" s="301">
        <v>0.1101</v>
      </c>
      <c r="C234" s="301">
        <v>3.4248</v>
      </c>
      <c r="D234" s="301">
        <v>3.4152</v>
      </c>
      <c r="E234" s="301">
        <v>0.44</v>
      </c>
      <c r="F234" s="301">
        <v>3.3143</v>
      </c>
      <c r="G234" s="301">
        <v>2.6005</v>
      </c>
      <c r="H234" s="301">
        <v>2.6413</v>
      </c>
      <c r="I234" s="301">
        <v>4.5494</v>
      </c>
      <c r="J234" s="301">
        <v>1.4603</v>
      </c>
      <c r="K234" s="301">
        <v>3.7112</v>
      </c>
      <c r="L234" s="301">
        <v>5.3234</v>
      </c>
      <c r="M234" s="301">
        <v>0.4267</v>
      </c>
      <c r="N234" s="301">
        <v>4.3909</v>
      </c>
      <c r="O234" s="301">
        <v>0.1779</v>
      </c>
      <c r="P234" s="301">
        <v>0.6118</v>
      </c>
      <c r="R234" s="301">
        <v>2.8534</v>
      </c>
      <c r="S234" s="301">
        <v>0.5834</v>
      </c>
      <c r="U234" s="301">
        <v>0.4948</v>
      </c>
      <c r="V234" s="301">
        <v>0.6063</v>
      </c>
      <c r="W234" s="301">
        <v>1.0442</v>
      </c>
      <c r="X234" s="301">
        <v>2.3261</v>
      </c>
      <c r="Y234" s="301">
        <v>1.8449</v>
      </c>
      <c r="Z234" s="301">
        <v>1.3176</v>
      </c>
      <c r="AA234" s="301">
        <v>6.5196</v>
      </c>
      <c r="AB234" s="301">
        <v>0.0785</v>
      </c>
      <c r="AC234" s="301">
        <v>0.2477</v>
      </c>
      <c r="AD234" s="301">
        <v>0.4065</v>
      </c>
      <c r="AE234" s="301">
        <v>1.8552</v>
      </c>
      <c r="AF234" s="301">
        <v>1.0779</v>
      </c>
      <c r="AG234" s="301">
        <v>0.1091</v>
      </c>
      <c r="AH234" s="301">
        <v>3.7263</v>
      </c>
      <c r="AI234" s="301">
        <v>0.2993</v>
      </c>
      <c r="AJ234" s="301">
        <v>0.5373</v>
      </c>
      <c r="AK234" s="301">
        <v>5.303</v>
      </c>
      <c r="AL234" s="302">
        <v>231</v>
      </c>
      <c r="AM234" t="s">
        <v>411</v>
      </c>
    </row>
    <row r="235" spans="1:39" ht="12.75">
      <c r="A235" s="441">
        <v>40878</v>
      </c>
      <c r="B235" s="301">
        <v>0.1082</v>
      </c>
      <c r="C235" s="301">
        <v>3.34</v>
      </c>
      <c r="D235" s="301">
        <v>3.4124</v>
      </c>
      <c r="E235" s="301">
        <v>0.4295</v>
      </c>
      <c r="F235" s="301">
        <v>3.2783</v>
      </c>
      <c r="G235" s="301">
        <v>2.5994</v>
      </c>
      <c r="H235" s="301">
        <v>2.6023</v>
      </c>
      <c r="I235" s="301">
        <v>4.5083</v>
      </c>
      <c r="J235" s="301">
        <v>1.4859</v>
      </c>
      <c r="K235" s="301">
        <v>3.6741</v>
      </c>
      <c r="L235" s="301">
        <v>5.2498</v>
      </c>
      <c r="M235" s="301">
        <v>0.4164</v>
      </c>
      <c r="N235" s="301">
        <v>4.2965</v>
      </c>
      <c r="O235" s="301">
        <v>0.1779</v>
      </c>
      <c r="P235" s="301">
        <v>0.6065</v>
      </c>
      <c r="R235" s="301">
        <v>2.8206</v>
      </c>
      <c r="S235" s="301">
        <v>0.5789</v>
      </c>
      <c r="U235" s="301">
        <v>0.4942</v>
      </c>
      <c r="V235" s="301">
        <v>0.6009</v>
      </c>
      <c r="W235" s="301">
        <v>1.0363</v>
      </c>
      <c r="X235" s="301">
        <v>2.3051</v>
      </c>
      <c r="Y235" s="301">
        <v>1.8239</v>
      </c>
      <c r="Z235" s="301">
        <v>1.3057</v>
      </c>
      <c r="AA235" s="301">
        <v>6.463</v>
      </c>
      <c r="AB235" s="301">
        <v>0.0772</v>
      </c>
      <c r="AC235" s="301">
        <v>0.2455</v>
      </c>
      <c r="AD235" s="301">
        <v>0.4105</v>
      </c>
      <c r="AE235" s="301">
        <v>1.8468</v>
      </c>
      <c r="AF235" s="301">
        <v>1.0635</v>
      </c>
      <c r="AG235" s="301">
        <v>0.1086</v>
      </c>
      <c r="AH235" s="301">
        <v>3.687</v>
      </c>
      <c r="AI235" s="301">
        <v>0.2968</v>
      </c>
      <c r="AJ235" s="301">
        <v>0.5244</v>
      </c>
      <c r="AK235" s="301">
        <v>5.213</v>
      </c>
      <c r="AL235" s="302">
        <v>232</v>
      </c>
      <c r="AM235" t="s">
        <v>411</v>
      </c>
    </row>
    <row r="236" spans="1:39" ht="12.75">
      <c r="A236" s="441">
        <v>40879</v>
      </c>
      <c r="B236" s="301">
        <v>0.1081</v>
      </c>
      <c r="C236" s="301">
        <v>3.3235</v>
      </c>
      <c r="D236" s="301">
        <v>3.4113</v>
      </c>
      <c r="E236" s="301">
        <v>0.4277</v>
      </c>
      <c r="F236" s="301">
        <v>3.2839</v>
      </c>
      <c r="G236" s="301">
        <v>2.5967</v>
      </c>
      <c r="H236" s="301">
        <v>2.5898</v>
      </c>
      <c r="I236" s="301">
        <v>4.4812</v>
      </c>
      <c r="J236" s="301">
        <v>1.4725</v>
      </c>
      <c r="K236" s="301">
        <v>3.6275</v>
      </c>
      <c r="L236" s="301">
        <v>5.2165</v>
      </c>
      <c r="M236" s="301">
        <v>0.4144</v>
      </c>
      <c r="N236" s="301">
        <v>4.2696</v>
      </c>
      <c r="O236" s="301">
        <v>0.1771</v>
      </c>
      <c r="P236" s="301">
        <v>0.6029</v>
      </c>
      <c r="R236" s="301">
        <v>2.805</v>
      </c>
      <c r="S236" s="301">
        <v>0.5745</v>
      </c>
      <c r="U236" s="301">
        <v>0.4927</v>
      </c>
      <c r="V236" s="301">
        <v>0.5967</v>
      </c>
      <c r="W236" s="301">
        <v>1.0294</v>
      </c>
      <c r="X236" s="301">
        <v>2.2912</v>
      </c>
      <c r="Y236" s="301">
        <v>1.8215</v>
      </c>
      <c r="Z236" s="301">
        <v>1.2978</v>
      </c>
      <c r="AA236" s="301">
        <v>6.4214</v>
      </c>
      <c r="AB236" s="301">
        <v>0.0768</v>
      </c>
      <c r="AC236" s="301">
        <v>0.2452</v>
      </c>
      <c r="AD236" s="301">
        <v>0.4126</v>
      </c>
      <c r="AE236" s="301">
        <v>1.8472</v>
      </c>
      <c r="AF236" s="301">
        <v>1.0622</v>
      </c>
      <c r="AG236" s="301">
        <v>0.1079</v>
      </c>
      <c r="AH236" s="301">
        <v>3.6905</v>
      </c>
      <c r="AI236" s="301">
        <v>0.2937</v>
      </c>
      <c r="AJ236" s="301">
        <v>0.5226</v>
      </c>
      <c r="AK236" s="301">
        <v>5.1826</v>
      </c>
      <c r="AL236" s="302">
        <v>233</v>
      </c>
      <c r="AM236" t="s">
        <v>411</v>
      </c>
    </row>
    <row r="237" spans="1:39" ht="12.75">
      <c r="A237" s="441">
        <v>40882</v>
      </c>
      <c r="B237" s="301">
        <v>0.1082</v>
      </c>
      <c r="C237" s="301">
        <v>3.3276</v>
      </c>
      <c r="D237" s="301">
        <v>3.4139</v>
      </c>
      <c r="E237" s="301">
        <v>0.4281</v>
      </c>
      <c r="F237" s="301">
        <v>3.2755</v>
      </c>
      <c r="G237" s="301">
        <v>2.6045</v>
      </c>
      <c r="H237" s="301">
        <v>2.5948</v>
      </c>
      <c r="I237" s="301">
        <v>4.4773</v>
      </c>
      <c r="J237" s="301">
        <v>1.4856</v>
      </c>
      <c r="K237" s="301">
        <v>3.6155</v>
      </c>
      <c r="L237" s="301">
        <v>5.2059</v>
      </c>
      <c r="M237" s="301">
        <v>0.4153</v>
      </c>
      <c r="N237" s="301">
        <v>4.2696</v>
      </c>
      <c r="O237" s="301">
        <v>0.1777</v>
      </c>
      <c r="P237" s="301">
        <v>0.6022</v>
      </c>
      <c r="R237" s="301">
        <v>2.8049</v>
      </c>
      <c r="S237" s="301">
        <v>0.5777</v>
      </c>
      <c r="U237" s="301">
        <v>0.4946</v>
      </c>
      <c r="V237" s="301">
        <v>0.596</v>
      </c>
      <c r="W237" s="301">
        <v>1.0284</v>
      </c>
      <c r="X237" s="301">
        <v>2.2892</v>
      </c>
      <c r="Y237" s="301">
        <v>1.8183</v>
      </c>
      <c r="Z237" s="301">
        <v>1.2967</v>
      </c>
      <c r="AA237" s="301">
        <v>6.42</v>
      </c>
      <c r="AB237" s="301">
        <v>0.0769</v>
      </c>
      <c r="AC237" s="301">
        <v>0.2465</v>
      </c>
      <c r="AD237" s="301">
        <v>0.4175</v>
      </c>
      <c r="AE237" s="301">
        <v>1.8574</v>
      </c>
      <c r="AF237" s="301">
        <v>1.0614</v>
      </c>
      <c r="AG237" s="301">
        <v>0.1078</v>
      </c>
      <c r="AH237" s="301">
        <v>3.7064</v>
      </c>
      <c r="AI237" s="301">
        <v>0.2951</v>
      </c>
      <c r="AJ237" s="301">
        <v>0.5228</v>
      </c>
      <c r="AK237" s="301">
        <v>5.1707</v>
      </c>
      <c r="AL237" s="302">
        <v>234</v>
      </c>
      <c r="AM237" t="s">
        <v>411</v>
      </c>
    </row>
    <row r="238" spans="1:39" ht="12.75">
      <c r="A238" s="441">
        <v>40883</v>
      </c>
      <c r="B238" s="301">
        <v>0.1083</v>
      </c>
      <c r="C238" s="301">
        <v>3.3429</v>
      </c>
      <c r="D238" s="301">
        <v>3.4107</v>
      </c>
      <c r="E238" s="301">
        <v>0.4301</v>
      </c>
      <c r="F238" s="301">
        <v>3.287</v>
      </c>
      <c r="G238" s="301">
        <v>2.595</v>
      </c>
      <c r="H238" s="301">
        <v>2.5983</v>
      </c>
      <c r="I238" s="301">
        <v>4.4711</v>
      </c>
      <c r="J238" s="301">
        <v>1.4886</v>
      </c>
      <c r="K238" s="301">
        <v>3.6089</v>
      </c>
      <c r="L238" s="301">
        <v>5.2257</v>
      </c>
      <c r="M238" s="301">
        <v>0.4172</v>
      </c>
      <c r="N238" s="301">
        <v>4.3031</v>
      </c>
      <c r="O238" s="301">
        <v>0.1771</v>
      </c>
      <c r="P238" s="301">
        <v>0.6014</v>
      </c>
      <c r="R238" s="301">
        <v>2.8059</v>
      </c>
      <c r="S238" s="301">
        <v>0.5784</v>
      </c>
      <c r="U238" s="301">
        <v>0.4932</v>
      </c>
      <c r="V238" s="301">
        <v>0.5955</v>
      </c>
      <c r="W238" s="301">
        <v>1.0271</v>
      </c>
      <c r="X238" s="301">
        <v>2.2861</v>
      </c>
      <c r="Y238" s="301">
        <v>1.8164</v>
      </c>
      <c r="Z238" s="301">
        <v>1.2949</v>
      </c>
      <c r="AA238" s="301">
        <v>6.4079</v>
      </c>
      <c r="AB238" s="301">
        <v>0.0769</v>
      </c>
      <c r="AC238" s="301">
        <v>0.2471</v>
      </c>
      <c r="AD238" s="301">
        <v>0.4127</v>
      </c>
      <c r="AE238" s="301">
        <v>1.8723</v>
      </c>
      <c r="AF238" s="301">
        <v>1.0661</v>
      </c>
      <c r="AG238" s="301">
        <v>0.1074</v>
      </c>
      <c r="AH238" s="301">
        <v>3.6822</v>
      </c>
      <c r="AI238" s="301">
        <v>0.2955</v>
      </c>
      <c r="AJ238" s="301">
        <v>0.5253</v>
      </c>
      <c r="AK238" s="301">
        <v>5.1791</v>
      </c>
      <c r="AL238" s="302">
        <v>235</v>
      </c>
      <c r="AM238" t="s">
        <v>411</v>
      </c>
    </row>
    <row r="239" spans="1:39" ht="12.75">
      <c r="A239" s="441">
        <v>40884</v>
      </c>
      <c r="B239" s="301">
        <v>0.1082</v>
      </c>
      <c r="C239" s="301">
        <v>3.331</v>
      </c>
      <c r="D239" s="301">
        <v>3.4214</v>
      </c>
      <c r="E239" s="301">
        <v>0.4286</v>
      </c>
      <c r="F239" s="301">
        <v>3.298</v>
      </c>
      <c r="G239" s="301">
        <v>2.6003</v>
      </c>
      <c r="H239" s="301">
        <v>2.597</v>
      </c>
      <c r="I239" s="301">
        <v>4.469</v>
      </c>
      <c r="J239" s="301">
        <v>1.4892</v>
      </c>
      <c r="K239" s="301">
        <v>3.601</v>
      </c>
      <c r="L239" s="301">
        <v>5.2007</v>
      </c>
      <c r="M239" s="301">
        <v>0.4157</v>
      </c>
      <c r="N239" s="301">
        <v>4.2883</v>
      </c>
      <c r="O239" s="301">
        <v>0.177</v>
      </c>
      <c r="P239" s="301">
        <v>0.6011</v>
      </c>
      <c r="R239" s="301">
        <v>2.8054</v>
      </c>
      <c r="S239" s="301">
        <v>0.5798</v>
      </c>
      <c r="U239" s="301">
        <v>0.4951</v>
      </c>
      <c r="V239" s="301">
        <v>0.5952</v>
      </c>
      <c r="W239" s="301">
        <v>1.0271</v>
      </c>
      <c r="X239" s="301">
        <v>2.285</v>
      </c>
      <c r="Y239" s="301">
        <v>1.8187</v>
      </c>
      <c r="Z239" s="301">
        <v>1.2943</v>
      </c>
      <c r="AA239" s="301">
        <v>6.404</v>
      </c>
      <c r="AB239" s="301">
        <v>0.077</v>
      </c>
      <c r="AC239" s="301">
        <v>0.247</v>
      </c>
      <c r="AD239" s="301">
        <v>0.4152</v>
      </c>
      <c r="AE239" s="301">
        <v>1.8604</v>
      </c>
      <c r="AF239" s="301">
        <v>1.067</v>
      </c>
      <c r="AG239" s="301">
        <v>0.1068</v>
      </c>
      <c r="AH239" s="301">
        <v>3.6926</v>
      </c>
      <c r="AI239" s="301">
        <v>0.295</v>
      </c>
      <c r="AJ239" s="301">
        <v>0.5234</v>
      </c>
      <c r="AK239" s="301">
        <v>5.1915</v>
      </c>
      <c r="AL239" s="302">
        <v>236</v>
      </c>
      <c r="AM239" t="s">
        <v>411</v>
      </c>
    </row>
    <row r="240" spans="1:39" ht="12.75">
      <c r="A240" s="441">
        <v>40885</v>
      </c>
      <c r="B240" s="301">
        <v>0.1085</v>
      </c>
      <c r="C240" s="301">
        <v>3.3359</v>
      </c>
      <c r="D240" s="301">
        <v>3.4314</v>
      </c>
      <c r="E240" s="301">
        <v>0.4289</v>
      </c>
      <c r="F240" s="301">
        <v>3.3062</v>
      </c>
      <c r="G240" s="301">
        <v>2.6053</v>
      </c>
      <c r="H240" s="301">
        <v>2.5885</v>
      </c>
      <c r="I240" s="301">
        <v>4.4692</v>
      </c>
      <c r="J240" s="301">
        <v>1.4858</v>
      </c>
      <c r="K240" s="301">
        <v>3.6107</v>
      </c>
      <c r="L240" s="301">
        <v>5.2489</v>
      </c>
      <c r="M240" s="301">
        <v>0.4163</v>
      </c>
      <c r="N240" s="301">
        <v>4.3087</v>
      </c>
      <c r="O240" s="301">
        <v>0.177</v>
      </c>
      <c r="P240" s="301">
        <v>0.6011</v>
      </c>
      <c r="R240" s="301">
        <v>2.8082</v>
      </c>
      <c r="S240" s="301">
        <v>0.581</v>
      </c>
      <c r="U240" s="301">
        <v>0.4956</v>
      </c>
      <c r="V240" s="301">
        <v>0.5962</v>
      </c>
      <c r="W240" s="301">
        <v>1.0298</v>
      </c>
      <c r="X240" s="301">
        <v>2.2851</v>
      </c>
      <c r="Y240" s="301">
        <v>1.8234</v>
      </c>
      <c r="Z240" s="301">
        <v>1.2944</v>
      </c>
      <c r="AA240" s="301">
        <v>6.4029</v>
      </c>
      <c r="AB240" s="301">
        <v>0.0771</v>
      </c>
      <c r="AC240" s="301">
        <v>0.2472</v>
      </c>
      <c r="AD240" s="301">
        <v>0.4129</v>
      </c>
      <c r="AE240" s="301">
        <v>1.8542</v>
      </c>
      <c r="AF240" s="301">
        <v>1.0651</v>
      </c>
      <c r="AG240" s="301">
        <v>0.1066</v>
      </c>
      <c r="AH240" s="301">
        <v>3.6936</v>
      </c>
      <c r="AI240" s="301">
        <v>0.2946</v>
      </c>
      <c r="AJ240" s="301">
        <v>0.5242</v>
      </c>
      <c r="AK240" s="301">
        <v>5.1937</v>
      </c>
      <c r="AL240" s="302">
        <v>237</v>
      </c>
      <c r="AM240" t="s">
        <v>411</v>
      </c>
    </row>
    <row r="241" spans="1:39" ht="12.75">
      <c r="A241" s="441">
        <v>40886</v>
      </c>
      <c r="B241" s="301">
        <v>0.1095</v>
      </c>
      <c r="C241" s="301">
        <v>3.3875</v>
      </c>
      <c r="D241" s="301">
        <v>3.417</v>
      </c>
      <c r="E241" s="301">
        <v>0.4352</v>
      </c>
      <c r="F241" s="301">
        <v>3.3064</v>
      </c>
      <c r="G241" s="301">
        <v>2.5995</v>
      </c>
      <c r="H241" s="301">
        <v>2.6041</v>
      </c>
      <c r="I241" s="301">
        <v>4.5195</v>
      </c>
      <c r="J241" s="301">
        <v>1.475</v>
      </c>
      <c r="K241" s="301">
        <v>3.6653</v>
      </c>
      <c r="L241" s="301">
        <v>5.2959</v>
      </c>
      <c r="M241" s="301">
        <v>0.4227</v>
      </c>
      <c r="N241" s="301">
        <v>4.3572</v>
      </c>
      <c r="O241" s="301">
        <v>0.1767</v>
      </c>
      <c r="P241" s="301">
        <v>0.6079</v>
      </c>
      <c r="R241" s="301">
        <v>2.8448</v>
      </c>
      <c r="S241" s="301">
        <v>0.5863</v>
      </c>
      <c r="U241" s="301">
        <v>0.5001</v>
      </c>
      <c r="V241" s="301">
        <v>0.6029</v>
      </c>
      <c r="W241" s="301">
        <v>1.0414</v>
      </c>
      <c r="X241" s="301">
        <v>2.3108</v>
      </c>
      <c r="Y241" s="301">
        <v>1.8342</v>
      </c>
      <c r="Z241" s="301">
        <v>1.3089</v>
      </c>
      <c r="AA241" s="301">
        <v>6.4786</v>
      </c>
      <c r="AB241" s="301">
        <v>0.0776</v>
      </c>
      <c r="AC241" s="301">
        <v>0.2472</v>
      </c>
      <c r="AD241" s="301">
        <v>0.4109</v>
      </c>
      <c r="AE241" s="301">
        <v>1.8588</v>
      </c>
      <c r="AF241" s="301">
        <v>1.0743</v>
      </c>
      <c r="AG241" s="301">
        <v>0.1074</v>
      </c>
      <c r="AH241" s="301">
        <v>3.7297</v>
      </c>
      <c r="AI241" s="301">
        <v>0.2953</v>
      </c>
      <c r="AJ241" s="301">
        <v>0.5321</v>
      </c>
      <c r="AK241" s="301">
        <v>5.2475</v>
      </c>
      <c r="AL241" s="302">
        <v>238</v>
      </c>
      <c r="AM241" t="s">
        <v>411</v>
      </c>
    </row>
    <row r="242" spans="1:39" ht="12.75">
      <c r="A242" s="441">
        <v>40889</v>
      </c>
      <c r="B242" s="301">
        <v>0.1099</v>
      </c>
      <c r="C242" s="301">
        <v>3.4117</v>
      </c>
      <c r="D242" s="301">
        <v>3.4467</v>
      </c>
      <c r="E242" s="301">
        <v>0.4386</v>
      </c>
      <c r="F242" s="301">
        <v>3.3254</v>
      </c>
      <c r="G242" s="301">
        <v>2.6155</v>
      </c>
      <c r="H242" s="301">
        <v>2.6284</v>
      </c>
      <c r="I242" s="301">
        <v>4.5255</v>
      </c>
      <c r="J242" s="301">
        <v>1.4832</v>
      </c>
      <c r="K242" s="301">
        <v>3.6694</v>
      </c>
      <c r="L242" s="301">
        <v>5.3038</v>
      </c>
      <c r="M242" s="301">
        <v>0.4257</v>
      </c>
      <c r="N242" s="301">
        <v>4.382</v>
      </c>
      <c r="O242" s="301">
        <v>0.1771</v>
      </c>
      <c r="P242" s="301">
        <v>0.6086</v>
      </c>
      <c r="R242" s="301">
        <v>2.8498</v>
      </c>
      <c r="S242" s="301">
        <v>0.5876</v>
      </c>
      <c r="U242" s="301">
        <v>0.5004</v>
      </c>
      <c r="V242" s="301">
        <v>0.6036</v>
      </c>
      <c r="W242" s="301">
        <v>1.0426</v>
      </c>
      <c r="X242" s="301">
        <v>2.3139</v>
      </c>
      <c r="Y242" s="301">
        <v>1.84</v>
      </c>
      <c r="Z242" s="301">
        <v>1.3107</v>
      </c>
      <c r="AA242" s="301">
        <v>6.4858</v>
      </c>
      <c r="AB242" s="301">
        <v>0.0782</v>
      </c>
      <c r="AC242" s="301">
        <v>0.2489</v>
      </c>
      <c r="AD242" s="301">
        <v>0.4147</v>
      </c>
      <c r="AE242" s="301">
        <v>1.8975</v>
      </c>
      <c r="AF242" s="301">
        <v>1.0789</v>
      </c>
      <c r="AG242" s="301">
        <v>0.1083</v>
      </c>
      <c r="AH242" s="301">
        <v>3.7316</v>
      </c>
      <c r="AI242" s="301">
        <v>0.2967</v>
      </c>
      <c r="AJ242" s="301">
        <v>0.5363</v>
      </c>
      <c r="AK242" s="301">
        <v>5.2656</v>
      </c>
      <c r="AL242" s="302">
        <v>239</v>
      </c>
      <c r="AM242" t="s">
        <v>411</v>
      </c>
    </row>
    <row r="243" spans="1:39" ht="12.75">
      <c r="A243" s="441">
        <v>40890</v>
      </c>
      <c r="B243" s="301">
        <v>0.111</v>
      </c>
      <c r="C243" s="301">
        <v>3.4587</v>
      </c>
      <c r="D243" s="301">
        <v>3.4944</v>
      </c>
      <c r="E243" s="301">
        <v>0.4446</v>
      </c>
      <c r="F243" s="301">
        <v>3.3679</v>
      </c>
      <c r="G243" s="301">
        <v>2.6439</v>
      </c>
      <c r="H243" s="301">
        <v>2.6526</v>
      </c>
      <c r="I243" s="301">
        <v>4.56</v>
      </c>
      <c r="J243" s="301">
        <v>1.4947</v>
      </c>
      <c r="K243" s="301">
        <v>3.6917</v>
      </c>
      <c r="L243" s="301">
        <v>5.392</v>
      </c>
      <c r="M243" s="301">
        <v>0.4317</v>
      </c>
      <c r="N243" s="301">
        <v>4.4434</v>
      </c>
      <c r="O243" s="301">
        <v>0.1777</v>
      </c>
      <c r="P243" s="301">
        <v>0.6133</v>
      </c>
      <c r="R243" s="301">
        <v>2.8741</v>
      </c>
      <c r="S243" s="301">
        <v>0.592</v>
      </c>
      <c r="U243" s="301">
        <v>0.5032</v>
      </c>
      <c r="V243" s="301">
        <v>0.6084</v>
      </c>
      <c r="W243" s="301">
        <v>1.048</v>
      </c>
      <c r="X243" s="301">
        <v>2.3315</v>
      </c>
      <c r="Y243" s="301">
        <v>1.8514</v>
      </c>
      <c r="Z243" s="301">
        <v>1.3206</v>
      </c>
      <c r="AA243" s="301">
        <v>6.5334</v>
      </c>
      <c r="AB243" s="301">
        <v>0.0788</v>
      </c>
      <c r="AC243" s="301">
        <v>0.2504</v>
      </c>
      <c r="AD243" s="301">
        <v>0.4182</v>
      </c>
      <c r="AE243" s="301">
        <v>1.8765</v>
      </c>
      <c r="AF243" s="301">
        <v>1.0874</v>
      </c>
      <c r="AG243" s="301">
        <v>0.1092</v>
      </c>
      <c r="AH243" s="301">
        <v>3.8032</v>
      </c>
      <c r="AI243" s="301">
        <v>0.2996</v>
      </c>
      <c r="AJ243" s="301">
        <v>0.5435</v>
      </c>
      <c r="AK243" s="301">
        <v>5.3316</v>
      </c>
      <c r="AL243" s="302">
        <v>240</v>
      </c>
      <c r="AM243" t="s">
        <v>411</v>
      </c>
    </row>
    <row r="244" spans="1:39" ht="12.75">
      <c r="A244" s="441">
        <v>40891</v>
      </c>
      <c r="B244" s="301">
        <v>0.1121</v>
      </c>
      <c r="C244" s="301">
        <v>3.4977</v>
      </c>
      <c r="D244" s="301">
        <v>3.5088</v>
      </c>
      <c r="E244" s="301">
        <v>0.4494</v>
      </c>
      <c r="F244" s="301">
        <v>3.382</v>
      </c>
      <c r="G244" s="301">
        <v>2.646</v>
      </c>
      <c r="H244" s="301">
        <v>2.6817</v>
      </c>
      <c r="I244" s="301">
        <v>4.5642</v>
      </c>
      <c r="J244" s="301">
        <v>1.5033</v>
      </c>
      <c r="K244" s="301">
        <v>3.7025</v>
      </c>
      <c r="L244" s="301">
        <v>5.4284</v>
      </c>
      <c r="M244" s="301">
        <v>0.4364</v>
      </c>
      <c r="N244" s="301">
        <v>4.4872</v>
      </c>
      <c r="O244" s="301">
        <v>0.1779</v>
      </c>
      <c r="P244" s="301">
        <v>0.614</v>
      </c>
      <c r="R244" s="301">
        <v>2.8805</v>
      </c>
      <c r="S244" s="301">
        <v>0.5903</v>
      </c>
      <c r="U244" s="301">
        <v>0.5018</v>
      </c>
      <c r="V244" s="301">
        <v>0.6084</v>
      </c>
      <c r="W244" s="301">
        <v>1.0518</v>
      </c>
      <c r="X244" s="301">
        <v>2.3337</v>
      </c>
      <c r="Y244" s="301">
        <v>1.862</v>
      </c>
      <c r="Z244" s="301">
        <v>1.3219</v>
      </c>
      <c r="AA244" s="301">
        <v>6.5451</v>
      </c>
      <c r="AB244" s="301">
        <v>0.0793</v>
      </c>
      <c r="AC244" s="301">
        <v>0.2527</v>
      </c>
      <c r="AD244" s="301">
        <v>0.421</v>
      </c>
      <c r="AE244" s="301">
        <v>1.8757</v>
      </c>
      <c r="AF244" s="301">
        <v>1.0987</v>
      </c>
      <c r="AG244" s="301">
        <v>0.1101</v>
      </c>
      <c r="AH244" s="301">
        <v>3.8234</v>
      </c>
      <c r="AI244" s="301">
        <v>0.3022</v>
      </c>
      <c r="AJ244" s="301">
        <v>0.549</v>
      </c>
      <c r="AK244" s="301">
        <v>5.359</v>
      </c>
      <c r="AL244" s="302">
        <v>241</v>
      </c>
      <c r="AM244" t="s">
        <v>411</v>
      </c>
    </row>
    <row r="245" spans="1:39" ht="12.75">
      <c r="A245" s="441">
        <v>40892</v>
      </c>
      <c r="B245" s="301">
        <v>0.1116</v>
      </c>
      <c r="C245" s="301">
        <v>3.5066</v>
      </c>
      <c r="D245" s="301">
        <v>3.4659</v>
      </c>
      <c r="E245" s="301">
        <v>0.4505</v>
      </c>
      <c r="F245" s="301">
        <v>3.3738</v>
      </c>
      <c r="G245" s="301">
        <v>2.6236</v>
      </c>
      <c r="H245" s="301">
        <v>2.677</v>
      </c>
      <c r="I245" s="301">
        <v>4.5481</v>
      </c>
      <c r="J245" s="301">
        <v>1.4981</v>
      </c>
      <c r="K245" s="301">
        <v>3.7096</v>
      </c>
      <c r="L245" s="301">
        <v>5.4238</v>
      </c>
      <c r="M245" s="301">
        <v>0.4368</v>
      </c>
      <c r="N245" s="301">
        <v>4.4942</v>
      </c>
      <c r="O245" s="301">
        <v>0.1777</v>
      </c>
      <c r="P245" s="301">
        <v>0.612</v>
      </c>
      <c r="R245" s="301">
        <v>2.8684</v>
      </c>
      <c r="S245" s="301">
        <v>0.5845</v>
      </c>
      <c r="U245" s="301">
        <v>0.5</v>
      </c>
      <c r="V245" s="301">
        <v>0.6059</v>
      </c>
      <c r="W245" s="301">
        <v>1.0479</v>
      </c>
      <c r="X245" s="301">
        <v>2.3254</v>
      </c>
      <c r="Y245" s="301">
        <v>1.8621</v>
      </c>
      <c r="Z245" s="301">
        <v>1.3172</v>
      </c>
      <c r="AA245" s="301">
        <v>6.5276</v>
      </c>
      <c r="AB245" s="301">
        <v>0.0795</v>
      </c>
      <c r="AC245" s="301">
        <v>0.2524</v>
      </c>
      <c r="AD245" s="301">
        <v>0.4158</v>
      </c>
      <c r="AE245" s="301">
        <v>1.8653</v>
      </c>
      <c r="AF245" s="301">
        <v>1.1003</v>
      </c>
      <c r="AG245" s="301">
        <v>0.11</v>
      </c>
      <c r="AH245" s="301">
        <v>3.8511</v>
      </c>
      <c r="AI245" s="301">
        <v>0.3021</v>
      </c>
      <c r="AJ245" s="301">
        <v>0.5501</v>
      </c>
      <c r="AK245" s="301">
        <v>5.3787</v>
      </c>
      <c r="AL245" s="302">
        <v>242</v>
      </c>
      <c r="AM245" t="s">
        <v>411</v>
      </c>
    </row>
    <row r="246" spans="1:39" ht="12.75">
      <c r="A246" s="441">
        <v>40893</v>
      </c>
      <c r="B246" s="301">
        <v>0.1105</v>
      </c>
      <c r="C246" s="301">
        <v>3.4586</v>
      </c>
      <c r="D246" s="301">
        <v>3.4604</v>
      </c>
      <c r="E246" s="301">
        <v>0.4446</v>
      </c>
      <c r="F246" s="301">
        <v>3.355</v>
      </c>
      <c r="G246" s="301">
        <v>2.6311</v>
      </c>
      <c r="H246" s="301">
        <v>2.659</v>
      </c>
      <c r="I246" s="301">
        <v>4.5094</v>
      </c>
      <c r="J246" s="301">
        <v>1.5006</v>
      </c>
      <c r="K246" s="301">
        <v>3.6842</v>
      </c>
      <c r="L246" s="301">
        <v>5.3735</v>
      </c>
      <c r="M246" s="301">
        <v>0.4317</v>
      </c>
      <c r="N246" s="301">
        <v>4.4425</v>
      </c>
      <c r="O246" s="301">
        <v>0.1788</v>
      </c>
      <c r="P246" s="301">
        <v>0.6066</v>
      </c>
      <c r="R246" s="301">
        <v>2.8313</v>
      </c>
      <c r="S246" s="301">
        <v>0.5786</v>
      </c>
      <c r="U246" s="301">
        <v>0.4988</v>
      </c>
      <c r="V246" s="301">
        <v>0.6001</v>
      </c>
      <c r="W246" s="301">
        <v>1.0388</v>
      </c>
      <c r="X246" s="301">
        <v>2.3057</v>
      </c>
      <c r="Y246" s="301">
        <v>1.8425</v>
      </c>
      <c r="Z246" s="301">
        <v>1.306</v>
      </c>
      <c r="AA246" s="301">
        <v>6.4674</v>
      </c>
      <c r="AB246" s="301">
        <v>0.0789</v>
      </c>
      <c r="AC246" s="301">
        <v>0.2502</v>
      </c>
      <c r="AD246" s="301">
        <v>0.4142</v>
      </c>
      <c r="AE246" s="301">
        <v>1.8598</v>
      </c>
      <c r="AF246" s="301">
        <v>1.0886</v>
      </c>
      <c r="AG246" s="301">
        <v>0.1088</v>
      </c>
      <c r="AH246" s="301">
        <v>3.8062</v>
      </c>
      <c r="AI246" s="301">
        <v>0.2986</v>
      </c>
      <c r="AJ246" s="301">
        <v>0.545</v>
      </c>
      <c r="AK246" s="301">
        <v>5.3226</v>
      </c>
      <c r="AL246" s="302">
        <v>243</v>
      </c>
      <c r="AM246" t="s">
        <v>411</v>
      </c>
    </row>
    <row r="247" spans="1:39" ht="12.75">
      <c r="A247" s="441">
        <v>40896</v>
      </c>
      <c r="B247" s="301">
        <v>0.1103</v>
      </c>
      <c r="C247" s="301">
        <v>3.447</v>
      </c>
      <c r="D247" s="301">
        <v>3.4286</v>
      </c>
      <c r="E247" s="301">
        <v>0.4429</v>
      </c>
      <c r="F247" s="301">
        <v>3.3274</v>
      </c>
      <c r="G247" s="301">
        <v>2.6257</v>
      </c>
      <c r="H247" s="301">
        <v>2.6429</v>
      </c>
      <c r="I247" s="301">
        <v>4.491</v>
      </c>
      <c r="J247" s="301">
        <v>1.4772</v>
      </c>
      <c r="K247" s="301">
        <v>3.6828</v>
      </c>
      <c r="L247" s="301">
        <v>5.341</v>
      </c>
      <c r="M247" s="301">
        <v>0.4297</v>
      </c>
      <c r="N247" s="301">
        <v>4.4257</v>
      </c>
      <c r="O247" s="301">
        <v>0.1778</v>
      </c>
      <c r="P247" s="301">
        <v>0.6042</v>
      </c>
      <c r="R247" s="301">
        <v>2.8159</v>
      </c>
      <c r="S247" s="301">
        <v>0.5786</v>
      </c>
      <c r="U247" s="301">
        <v>0.4987</v>
      </c>
      <c r="V247" s="301">
        <v>0.5976</v>
      </c>
      <c r="W247" s="301">
        <v>1.0411</v>
      </c>
      <c r="X247" s="301">
        <v>2.2962</v>
      </c>
      <c r="Y247" s="301">
        <v>1.8265</v>
      </c>
      <c r="Z247" s="301">
        <v>1.3007</v>
      </c>
      <c r="AA247" s="301">
        <v>6.4401</v>
      </c>
      <c r="AB247" s="301">
        <v>0.0783</v>
      </c>
      <c r="AC247" s="301">
        <v>0.2485</v>
      </c>
      <c r="AD247" s="301">
        <v>0.4117</v>
      </c>
      <c r="AE247" s="301">
        <v>1.8612</v>
      </c>
      <c r="AF247" s="301">
        <v>1.0831</v>
      </c>
      <c r="AG247" s="301">
        <v>0.1076</v>
      </c>
      <c r="AH247" s="301">
        <v>3.7939</v>
      </c>
      <c r="AI247" s="301">
        <v>0.2934</v>
      </c>
      <c r="AJ247" s="301">
        <v>0.5439</v>
      </c>
      <c r="AK247" s="301">
        <v>5.29</v>
      </c>
      <c r="AL247" s="302">
        <v>244</v>
      </c>
      <c r="AM247" t="s">
        <v>411</v>
      </c>
    </row>
    <row r="248" spans="1:39" ht="12.75">
      <c r="A248" s="441">
        <v>40897</v>
      </c>
      <c r="B248" s="301">
        <v>0.109</v>
      </c>
      <c r="C248" s="301">
        <v>3.4148</v>
      </c>
      <c r="D248" s="301">
        <v>3.4114</v>
      </c>
      <c r="E248" s="301">
        <v>0.4386</v>
      </c>
      <c r="F248" s="301">
        <v>3.3052</v>
      </c>
      <c r="G248" s="301">
        <v>2.6035</v>
      </c>
      <c r="H248" s="301">
        <v>2.6195</v>
      </c>
      <c r="I248" s="301">
        <v>4.4635</v>
      </c>
      <c r="J248" s="301">
        <v>1.4755</v>
      </c>
      <c r="K248" s="301">
        <v>3.6634</v>
      </c>
      <c r="L248" s="301">
        <v>5.3391</v>
      </c>
      <c r="M248" s="301">
        <v>0.4263</v>
      </c>
      <c r="N248" s="301">
        <v>4.3811</v>
      </c>
      <c r="O248" s="301">
        <v>0.1759</v>
      </c>
      <c r="P248" s="301">
        <v>0.6005</v>
      </c>
      <c r="R248" s="301">
        <v>2.7923</v>
      </c>
      <c r="S248" s="301">
        <v>0.578</v>
      </c>
      <c r="U248" s="301">
        <v>0.4967</v>
      </c>
      <c r="V248" s="301">
        <v>0.5936</v>
      </c>
      <c r="W248" s="301">
        <v>1.0354</v>
      </c>
      <c r="X248" s="301">
        <v>2.2822</v>
      </c>
      <c r="Y248" s="301">
        <v>1.797</v>
      </c>
      <c r="Z248" s="301">
        <v>1.2927</v>
      </c>
      <c r="AA248" s="301">
        <v>6.4071</v>
      </c>
      <c r="AB248" s="301">
        <v>0.0778</v>
      </c>
      <c r="AC248" s="301">
        <v>0.2473</v>
      </c>
      <c r="AD248" s="301">
        <v>0.4109</v>
      </c>
      <c r="AE248" s="301">
        <v>1.8266</v>
      </c>
      <c r="AF248" s="301">
        <v>1.0737</v>
      </c>
      <c r="AG248" s="301">
        <v>0.1065</v>
      </c>
      <c r="AH248" s="301">
        <v>3.7595</v>
      </c>
      <c r="AI248" s="301">
        <v>0.2938</v>
      </c>
      <c r="AJ248" s="301">
        <v>0.5377</v>
      </c>
      <c r="AK248" s="301">
        <v>5.265</v>
      </c>
      <c r="AL248" s="302">
        <v>245</v>
      </c>
      <c r="AM248" t="s">
        <v>411</v>
      </c>
    </row>
    <row r="249" spans="1:39" ht="12.75">
      <c r="A249" s="441">
        <v>40898</v>
      </c>
      <c r="B249" s="301">
        <v>0.1083</v>
      </c>
      <c r="C249" s="301">
        <v>3.3793</v>
      </c>
      <c r="D249" s="301">
        <v>3.4387</v>
      </c>
      <c r="E249" s="301">
        <v>0.4343</v>
      </c>
      <c r="F249" s="301">
        <v>3.303</v>
      </c>
      <c r="G249" s="301">
        <v>2.6228</v>
      </c>
      <c r="H249" s="301">
        <v>2.6162</v>
      </c>
      <c r="I249" s="301">
        <v>4.4424</v>
      </c>
      <c r="J249" s="301">
        <v>1.4748</v>
      </c>
      <c r="K249" s="301">
        <v>3.6391</v>
      </c>
      <c r="L249" s="301">
        <v>5.319</v>
      </c>
      <c r="M249" s="301">
        <v>0.421</v>
      </c>
      <c r="N249" s="301">
        <v>4.344</v>
      </c>
      <c r="O249" s="301">
        <v>0.1744</v>
      </c>
      <c r="P249" s="301">
        <v>0.5978</v>
      </c>
      <c r="R249" s="301">
        <v>2.7739</v>
      </c>
      <c r="S249" s="301">
        <v>0.5758</v>
      </c>
      <c r="U249" s="301">
        <v>0.4959</v>
      </c>
      <c r="V249" s="301">
        <v>0.5909</v>
      </c>
      <c r="W249" s="301">
        <v>1.0326</v>
      </c>
      <c r="X249" s="301">
        <v>2.2714</v>
      </c>
      <c r="Y249" s="301">
        <v>1.7989</v>
      </c>
      <c r="Z249" s="301">
        <v>1.2866</v>
      </c>
      <c r="AA249" s="301">
        <v>6.3768</v>
      </c>
      <c r="AB249" s="301">
        <v>0.0775</v>
      </c>
      <c r="AC249" s="301">
        <v>0.2466</v>
      </c>
      <c r="AD249" s="301">
        <v>0.4174</v>
      </c>
      <c r="AE249" s="301">
        <v>1.8314</v>
      </c>
      <c r="AF249" s="301">
        <v>1.0685</v>
      </c>
      <c r="AG249" s="301">
        <v>0.1069</v>
      </c>
      <c r="AH249" s="301">
        <v>3.7121</v>
      </c>
      <c r="AI249" s="301">
        <v>0.2939</v>
      </c>
      <c r="AJ249" s="301">
        <v>0.5331</v>
      </c>
      <c r="AK249" s="301">
        <v>5.2385</v>
      </c>
      <c r="AL249" s="302">
        <v>246</v>
      </c>
      <c r="AM249" t="s">
        <v>411</v>
      </c>
    </row>
    <row r="250" spans="1:39" ht="12.75">
      <c r="A250" s="441">
        <v>40899</v>
      </c>
      <c r="B250" s="301">
        <v>0.1086</v>
      </c>
      <c r="C250" s="301">
        <v>3.3933</v>
      </c>
      <c r="D250" s="301">
        <v>3.4383</v>
      </c>
      <c r="E250" s="301">
        <v>0.4361</v>
      </c>
      <c r="F250" s="301">
        <v>3.3149</v>
      </c>
      <c r="G250" s="301">
        <v>2.6226</v>
      </c>
      <c r="H250" s="301">
        <v>2.6247</v>
      </c>
      <c r="I250" s="301">
        <v>4.4438</v>
      </c>
      <c r="J250" s="301">
        <v>1.4499</v>
      </c>
      <c r="K250" s="301">
        <v>3.6352</v>
      </c>
      <c r="L250" s="301">
        <v>5.3325</v>
      </c>
      <c r="M250" s="301">
        <v>0.4225</v>
      </c>
      <c r="N250" s="301">
        <v>4.3458</v>
      </c>
      <c r="O250" s="301">
        <v>0.1735</v>
      </c>
      <c r="P250" s="301">
        <v>0.5978</v>
      </c>
      <c r="R250" s="301">
        <v>2.7739</v>
      </c>
      <c r="S250" s="301">
        <v>0.5734</v>
      </c>
      <c r="U250" s="301">
        <v>0.4941</v>
      </c>
      <c r="V250" s="301">
        <v>0.5913</v>
      </c>
      <c r="W250" s="301">
        <v>1.0337</v>
      </c>
      <c r="X250" s="301">
        <v>2.2721</v>
      </c>
      <c r="Y250" s="301">
        <v>1.798</v>
      </c>
      <c r="Z250" s="301">
        <v>1.287</v>
      </c>
      <c r="AA250" s="301">
        <v>6.382</v>
      </c>
      <c r="AB250" s="301">
        <v>0.0778</v>
      </c>
      <c r="AC250" s="301">
        <v>0.2463</v>
      </c>
      <c r="AD250" s="301">
        <v>0.4147</v>
      </c>
      <c r="AE250" s="301">
        <v>1.8237</v>
      </c>
      <c r="AF250" s="301">
        <v>1.0715</v>
      </c>
      <c r="AG250" s="301">
        <v>0.1079</v>
      </c>
      <c r="AH250" s="301">
        <v>3.7132</v>
      </c>
      <c r="AI250" s="301">
        <v>0.2935</v>
      </c>
      <c r="AJ250" s="301">
        <v>0.5352</v>
      </c>
      <c r="AK250" s="301">
        <v>5.2531</v>
      </c>
      <c r="AL250" s="302">
        <v>247</v>
      </c>
      <c r="AM250" t="s">
        <v>411</v>
      </c>
    </row>
    <row r="251" spans="1:39" ht="12.75">
      <c r="A251" s="441">
        <v>40900</v>
      </c>
      <c r="B251" s="301">
        <v>0.1085</v>
      </c>
      <c r="C251" s="301">
        <v>3.398</v>
      </c>
      <c r="D251" s="301">
        <v>3.4489</v>
      </c>
      <c r="E251" s="301">
        <v>0.4368</v>
      </c>
      <c r="F251" s="301">
        <v>3.3289</v>
      </c>
      <c r="G251" s="301">
        <v>2.6306</v>
      </c>
      <c r="H251" s="301">
        <v>2.6281</v>
      </c>
      <c r="I251" s="301">
        <v>4.4401</v>
      </c>
      <c r="J251" s="301">
        <v>1.4485</v>
      </c>
      <c r="K251" s="301">
        <v>3.6301</v>
      </c>
      <c r="L251" s="301">
        <v>5.3232</v>
      </c>
      <c r="M251" s="301">
        <v>0.4233</v>
      </c>
      <c r="N251" s="301">
        <v>4.3545</v>
      </c>
      <c r="O251" s="301">
        <v>0.1729</v>
      </c>
      <c r="P251" s="301">
        <v>0.5974</v>
      </c>
      <c r="R251" s="301">
        <v>2.7718</v>
      </c>
      <c r="S251" s="301">
        <v>0.5709</v>
      </c>
      <c r="U251" s="301">
        <v>0.4952</v>
      </c>
      <c r="V251" s="301">
        <v>0.5907</v>
      </c>
      <c r="W251" s="301">
        <v>1.0359</v>
      </c>
      <c r="X251" s="301">
        <v>2.2702</v>
      </c>
      <c r="Y251" s="301">
        <v>1.8035</v>
      </c>
      <c r="Z251" s="301">
        <v>1.2859</v>
      </c>
      <c r="AA251" s="301">
        <v>6.374</v>
      </c>
      <c r="AB251" s="301">
        <v>0.0781</v>
      </c>
      <c r="AC251" s="301">
        <v>0.2462</v>
      </c>
      <c r="AD251" s="301">
        <v>0.4156</v>
      </c>
      <c r="AE251" s="301">
        <v>1.8305</v>
      </c>
      <c r="AF251" s="301">
        <v>1.0759</v>
      </c>
      <c r="AG251" s="301">
        <v>0.1091</v>
      </c>
      <c r="AH251" s="301">
        <v>3.721</v>
      </c>
      <c r="AI251" s="301">
        <v>0.2951</v>
      </c>
      <c r="AJ251" s="301">
        <v>0.5361</v>
      </c>
      <c r="AK251" s="301">
        <v>5.2444</v>
      </c>
      <c r="AL251" s="302">
        <v>248</v>
      </c>
      <c r="AM251" t="s">
        <v>411</v>
      </c>
    </row>
    <row r="252" spans="1:39" ht="12.75">
      <c r="A252" s="441">
        <v>40904</v>
      </c>
      <c r="B252" s="301">
        <v>0.1076</v>
      </c>
      <c r="C252" s="301">
        <v>3.3788</v>
      </c>
      <c r="D252" s="301">
        <v>3.4319</v>
      </c>
      <c r="E252" s="301">
        <v>0.4343</v>
      </c>
      <c r="F252" s="301">
        <v>3.3092</v>
      </c>
      <c r="G252" s="301">
        <v>2.6149</v>
      </c>
      <c r="H252" s="301">
        <v>2.6042</v>
      </c>
      <c r="I252" s="301">
        <v>4.4175</v>
      </c>
      <c r="J252" s="301">
        <v>1.4394</v>
      </c>
      <c r="K252" s="301">
        <v>3.6139</v>
      </c>
      <c r="L252" s="301">
        <v>5.2844</v>
      </c>
      <c r="M252" s="301">
        <v>0.4207</v>
      </c>
      <c r="N252" s="301">
        <v>4.3379</v>
      </c>
      <c r="O252" s="301">
        <v>0.1712</v>
      </c>
      <c r="P252" s="301">
        <v>0.5943</v>
      </c>
      <c r="R252" s="301">
        <v>2.7611</v>
      </c>
      <c r="S252" s="301">
        <v>0.5669</v>
      </c>
      <c r="U252" s="301">
        <v>0.4929</v>
      </c>
      <c r="V252" s="301">
        <v>0.5876</v>
      </c>
      <c r="W252" s="301">
        <v>1.0288</v>
      </c>
      <c r="X252" s="301">
        <v>2.2587</v>
      </c>
      <c r="Y252" s="301">
        <v>1.7855</v>
      </c>
      <c r="Z252" s="301">
        <v>1.2794</v>
      </c>
      <c r="AA252" s="301">
        <v>6.3383</v>
      </c>
      <c r="AB252" s="301">
        <v>0.0771</v>
      </c>
      <c r="AC252" s="301">
        <v>0.2451</v>
      </c>
      <c r="AD252" s="301">
        <v>0.4142</v>
      </c>
      <c r="AE252" s="301">
        <v>1.8211</v>
      </c>
      <c r="AF252" s="301">
        <v>1.065</v>
      </c>
      <c r="AG252" s="301">
        <v>0.1083</v>
      </c>
      <c r="AH252" s="301">
        <v>3.7436</v>
      </c>
      <c r="AI252" s="301">
        <v>0.2916</v>
      </c>
      <c r="AJ252" s="301">
        <v>0.5346</v>
      </c>
      <c r="AK252" s="301">
        <v>5.2161</v>
      </c>
      <c r="AL252" s="302">
        <v>249</v>
      </c>
      <c r="AM252" t="s">
        <v>411</v>
      </c>
    </row>
    <row r="253" spans="1:39" ht="12.75">
      <c r="A253" s="441">
        <v>40905</v>
      </c>
      <c r="B253" s="301">
        <v>0.1065</v>
      </c>
      <c r="C253" s="301">
        <v>3.3608</v>
      </c>
      <c r="D253" s="301">
        <v>3.4189</v>
      </c>
      <c r="E253" s="301">
        <v>0.4321</v>
      </c>
      <c r="F253" s="301">
        <v>3.3007</v>
      </c>
      <c r="G253" s="301">
        <v>2.6061</v>
      </c>
      <c r="H253" s="301">
        <v>2.5914</v>
      </c>
      <c r="I253" s="301">
        <v>4.3914</v>
      </c>
      <c r="J253" s="301">
        <v>1.4311</v>
      </c>
      <c r="K253" s="301">
        <v>3.5988</v>
      </c>
      <c r="L253" s="301">
        <v>5.2652</v>
      </c>
      <c r="M253" s="301">
        <v>0.4184</v>
      </c>
      <c r="N253" s="301">
        <v>4.3225</v>
      </c>
      <c r="O253" s="301">
        <v>0.1704</v>
      </c>
      <c r="P253" s="301">
        <v>0.5907</v>
      </c>
      <c r="R253" s="301">
        <v>2.7445</v>
      </c>
      <c r="S253" s="301">
        <v>0.5631</v>
      </c>
      <c r="U253" s="301">
        <v>0.4897</v>
      </c>
      <c r="V253" s="301">
        <v>0.5841</v>
      </c>
      <c r="W253" s="301">
        <v>1.0236</v>
      </c>
      <c r="X253" s="301">
        <v>2.2453</v>
      </c>
      <c r="Y253" s="301">
        <v>1.7689</v>
      </c>
      <c r="Z253" s="301">
        <v>1.2718</v>
      </c>
      <c r="AA253" s="301">
        <v>6.3018</v>
      </c>
      <c r="AB253" s="301">
        <v>0.0764</v>
      </c>
      <c r="AC253" s="301">
        <v>0.2404</v>
      </c>
      <c r="AD253" s="301">
        <v>0.4138</v>
      </c>
      <c r="AE253" s="301">
        <v>1.8053</v>
      </c>
      <c r="AF253" s="301">
        <v>1.0615</v>
      </c>
      <c r="AG253" s="301">
        <v>0.106</v>
      </c>
      <c r="AH253" s="301">
        <v>3.7082</v>
      </c>
      <c r="AI253" s="301">
        <v>0.2905</v>
      </c>
      <c r="AJ253" s="301">
        <v>0.5315</v>
      </c>
      <c r="AK253" s="301">
        <v>5.1828</v>
      </c>
      <c r="AL253" s="302">
        <v>250</v>
      </c>
      <c r="AM253" t="s">
        <v>411</v>
      </c>
    </row>
    <row r="254" spans="1:39" ht="12.75">
      <c r="A254" s="441">
        <v>40906</v>
      </c>
      <c r="B254" s="301">
        <v>0.1075</v>
      </c>
      <c r="C254" s="301">
        <v>3.4126</v>
      </c>
      <c r="D254" s="301">
        <v>3.4396</v>
      </c>
      <c r="E254" s="301">
        <v>0.439</v>
      </c>
      <c r="F254" s="301">
        <v>3.334</v>
      </c>
      <c r="G254" s="301">
        <v>2.6237</v>
      </c>
      <c r="H254" s="301">
        <v>2.6196</v>
      </c>
      <c r="I254" s="301">
        <v>4.4079</v>
      </c>
      <c r="J254" s="301">
        <v>1.4212</v>
      </c>
      <c r="K254" s="301">
        <v>3.6167</v>
      </c>
      <c r="L254" s="301">
        <v>5.2641</v>
      </c>
      <c r="M254" s="301">
        <v>0.4239</v>
      </c>
      <c r="N254" s="301">
        <v>4.3853</v>
      </c>
      <c r="O254" s="301">
        <v>0.1708</v>
      </c>
      <c r="P254" s="301">
        <v>0.5929</v>
      </c>
      <c r="R254" s="301">
        <v>2.7628</v>
      </c>
      <c r="S254" s="301">
        <v>0.5665</v>
      </c>
      <c r="U254" s="301">
        <v>0.4932</v>
      </c>
      <c r="V254" s="301">
        <v>0.5851</v>
      </c>
      <c r="W254" s="301">
        <v>1.0259</v>
      </c>
      <c r="X254" s="301">
        <v>2.2538</v>
      </c>
      <c r="Y254" s="301">
        <v>1.7861</v>
      </c>
      <c r="Z254" s="301">
        <v>1.2766</v>
      </c>
      <c r="AA254" s="301">
        <v>6.3074</v>
      </c>
      <c r="AB254" s="301">
        <v>0.0778</v>
      </c>
      <c r="AC254" s="301">
        <v>0.2437</v>
      </c>
      <c r="AD254" s="301">
        <v>0.4199</v>
      </c>
      <c r="AE254" s="301">
        <v>1.8208</v>
      </c>
      <c r="AF254" s="301">
        <v>1.0739</v>
      </c>
      <c r="AG254" s="301">
        <v>0.1059</v>
      </c>
      <c r="AH254" s="301">
        <v>3.6979</v>
      </c>
      <c r="AI254" s="301">
        <v>0.2955</v>
      </c>
      <c r="AJ254" s="301">
        <v>0.54</v>
      </c>
      <c r="AK254" s="301">
        <v>5.2008</v>
      </c>
      <c r="AL254" s="302">
        <v>251</v>
      </c>
      <c r="AM254" t="s">
        <v>411</v>
      </c>
    </row>
    <row r="255" spans="1:39" ht="12.75">
      <c r="A255" s="441">
        <v>40907</v>
      </c>
      <c r="B255" s="301">
        <v>0.1084</v>
      </c>
      <c r="C255" s="301">
        <v>3.4174</v>
      </c>
      <c r="D255" s="301">
        <v>3.467</v>
      </c>
      <c r="E255" s="301">
        <v>0.4398</v>
      </c>
      <c r="F255" s="301">
        <v>3.344</v>
      </c>
      <c r="G255" s="301">
        <v>2.6371</v>
      </c>
      <c r="H255" s="301">
        <v>2.6312</v>
      </c>
      <c r="I255" s="301">
        <v>4.4168</v>
      </c>
      <c r="J255" s="301">
        <v>1.4196</v>
      </c>
      <c r="K255" s="301">
        <v>3.6333</v>
      </c>
      <c r="L255" s="301">
        <v>5.2691</v>
      </c>
      <c r="M255" s="301">
        <v>0.4255</v>
      </c>
      <c r="N255" s="301">
        <v>4.4082</v>
      </c>
      <c r="O255" s="301">
        <v>0.1711</v>
      </c>
      <c r="P255" s="301">
        <v>0.5941</v>
      </c>
      <c r="R255" s="301">
        <v>2.7805</v>
      </c>
      <c r="S255" s="301">
        <v>0.5676</v>
      </c>
      <c r="U255" s="301">
        <v>0.495</v>
      </c>
      <c r="V255" s="301">
        <v>0.5861</v>
      </c>
      <c r="W255" s="301">
        <v>1.0226</v>
      </c>
      <c r="X255" s="301">
        <v>2.2583</v>
      </c>
      <c r="Y255" s="301">
        <v>1.7835</v>
      </c>
      <c r="Z255" s="301">
        <v>1.2792</v>
      </c>
      <c r="AA255" s="301">
        <v>6.312</v>
      </c>
      <c r="AB255" s="301">
        <v>0.0779</v>
      </c>
      <c r="AC255" s="301">
        <v>0.244</v>
      </c>
      <c r="AD255" s="301">
        <v>0.4216</v>
      </c>
      <c r="AE255" s="301">
        <v>1.8314</v>
      </c>
      <c r="AF255" s="301">
        <v>1.0779</v>
      </c>
      <c r="AG255" s="301">
        <v>0.1061</v>
      </c>
      <c r="AH255" s="301">
        <v>3.7147</v>
      </c>
      <c r="AI255" s="301">
        <v>0.2948</v>
      </c>
      <c r="AJ255" s="301">
        <v>0.5428</v>
      </c>
      <c r="AK255" s="301">
        <v>5.2444</v>
      </c>
      <c r="AL255" s="302">
        <v>252</v>
      </c>
      <c r="AM255" t="s">
        <v>411</v>
      </c>
    </row>
    <row r="256" spans="1:39" ht="12.75">
      <c r="A256" s="441">
        <v>40910</v>
      </c>
      <c r="B256" s="301">
        <v>0.1095</v>
      </c>
      <c r="C256" s="301">
        <v>3.4454</v>
      </c>
      <c r="D256" s="301">
        <v>3.5229</v>
      </c>
      <c r="E256" s="301">
        <v>0.4437</v>
      </c>
      <c r="F256" s="301">
        <v>3.3799</v>
      </c>
      <c r="G256" s="301">
        <v>2.6816</v>
      </c>
      <c r="H256" s="301">
        <v>2.656</v>
      </c>
      <c r="I256" s="301">
        <v>4.464</v>
      </c>
      <c r="J256" s="301">
        <v>1.4161</v>
      </c>
      <c r="K256" s="301">
        <v>3.6668</v>
      </c>
      <c r="L256" s="301">
        <v>5.348</v>
      </c>
      <c r="M256" s="301">
        <v>0.43</v>
      </c>
      <c r="N256" s="301">
        <v>4.4786</v>
      </c>
      <c r="O256" s="301">
        <v>0.1751</v>
      </c>
      <c r="P256" s="301">
        <v>0.6006</v>
      </c>
      <c r="R256" s="301">
        <v>2.8129</v>
      </c>
      <c r="S256" s="301">
        <v>0.5759</v>
      </c>
      <c r="U256" s="301">
        <v>0.5006</v>
      </c>
      <c r="V256" s="301">
        <v>0.5925</v>
      </c>
      <c r="W256" s="301">
        <v>1.0334</v>
      </c>
      <c r="X256" s="301">
        <v>2.2824</v>
      </c>
      <c r="Y256" s="301">
        <v>1.8343</v>
      </c>
      <c r="Z256" s="301">
        <v>1.2928</v>
      </c>
      <c r="AA256" s="301">
        <v>6.3831</v>
      </c>
      <c r="AB256" s="301">
        <v>0.0784</v>
      </c>
      <c r="AC256" s="301">
        <v>0.2473</v>
      </c>
      <c r="AD256" s="301">
        <v>0.4265</v>
      </c>
      <c r="AE256" s="301">
        <v>1.8495</v>
      </c>
      <c r="AF256" s="301">
        <v>1.0863</v>
      </c>
      <c r="AG256" s="301">
        <v>0.1071</v>
      </c>
      <c r="AH256" s="301">
        <v>3.7935</v>
      </c>
      <c r="AI256" s="301">
        <v>0.2981</v>
      </c>
      <c r="AJ256" s="301">
        <v>0.5475</v>
      </c>
      <c r="AK256" s="301">
        <v>5.2967</v>
      </c>
      <c r="AL256" s="302">
        <v>1</v>
      </c>
      <c r="AM256" t="s">
        <v>411</v>
      </c>
    </row>
    <row r="257" spans="1:39" ht="12.75">
      <c r="A257" s="441">
        <v>40911</v>
      </c>
      <c r="B257" s="301">
        <v>0.1091</v>
      </c>
      <c r="C257" s="301">
        <v>3.4277</v>
      </c>
      <c r="D257" s="301">
        <v>3.5345</v>
      </c>
      <c r="E257" s="301">
        <v>0.4412</v>
      </c>
      <c r="F257" s="301">
        <v>3.3786</v>
      </c>
      <c r="G257" s="301">
        <v>2.6964</v>
      </c>
      <c r="H257" s="301">
        <v>2.6621</v>
      </c>
      <c r="I257" s="301">
        <v>4.4597</v>
      </c>
      <c r="J257" s="301">
        <v>1.4155</v>
      </c>
      <c r="K257" s="301">
        <v>3.6622</v>
      </c>
      <c r="L257" s="301">
        <v>5.3394</v>
      </c>
      <c r="M257" s="301">
        <v>0.4296</v>
      </c>
      <c r="N257" s="301">
        <v>4.4601</v>
      </c>
      <c r="O257" s="301">
        <v>0.1748</v>
      </c>
      <c r="P257" s="301">
        <v>0.5998</v>
      </c>
      <c r="R257" s="301">
        <v>2.8061</v>
      </c>
      <c r="S257" s="301">
        <v>0.5765</v>
      </c>
      <c r="U257" s="301">
        <v>0.5008</v>
      </c>
      <c r="V257" s="301">
        <v>0.5917</v>
      </c>
      <c r="W257" s="301">
        <v>1.029</v>
      </c>
      <c r="X257" s="301">
        <v>2.2802</v>
      </c>
      <c r="Y257" s="301">
        <v>1.815</v>
      </c>
      <c r="Z257" s="301">
        <v>1.2916</v>
      </c>
      <c r="AA257" s="301">
        <v>6.3787</v>
      </c>
      <c r="AB257" s="301">
        <v>0.0783</v>
      </c>
      <c r="AC257" s="301">
        <v>0.2478</v>
      </c>
      <c r="AD257" s="301">
        <v>0.4239</v>
      </c>
      <c r="AE257" s="301">
        <v>1.8324</v>
      </c>
      <c r="AF257" s="301">
        <v>1.0886</v>
      </c>
      <c r="AG257" s="301">
        <v>0.1078</v>
      </c>
      <c r="AH257" s="301">
        <v>3.7898</v>
      </c>
      <c r="AI257" s="301">
        <v>0.298</v>
      </c>
      <c r="AJ257" s="301">
        <v>0.5446</v>
      </c>
      <c r="AK257" s="301">
        <v>5.2916</v>
      </c>
      <c r="AL257" s="302">
        <v>2</v>
      </c>
      <c r="AM257" t="s">
        <v>413</v>
      </c>
    </row>
    <row r="258" spans="1:39" ht="12.75">
      <c r="A258" s="441">
        <v>40912</v>
      </c>
      <c r="B258" s="301">
        <v>0.1091</v>
      </c>
      <c r="C258" s="301">
        <v>3.432</v>
      </c>
      <c r="D258" s="301">
        <v>3.5528</v>
      </c>
      <c r="E258" s="301">
        <v>0.4418</v>
      </c>
      <c r="F258" s="301">
        <v>3.3887</v>
      </c>
      <c r="G258" s="301">
        <v>2.7084</v>
      </c>
      <c r="H258" s="301">
        <v>2.6687</v>
      </c>
      <c r="I258" s="301">
        <v>4.4753</v>
      </c>
      <c r="J258" s="301">
        <v>1.4009</v>
      </c>
      <c r="K258" s="301">
        <v>3.6714</v>
      </c>
      <c r="L258" s="301">
        <v>5.3712</v>
      </c>
      <c r="M258" s="301">
        <v>0.4262</v>
      </c>
      <c r="N258" s="301">
        <v>4.4787</v>
      </c>
      <c r="O258" s="301">
        <v>0.1738</v>
      </c>
      <c r="P258" s="301">
        <v>0.6018</v>
      </c>
      <c r="R258" s="301">
        <v>2.8147</v>
      </c>
      <c r="S258" s="301">
        <v>0.5805</v>
      </c>
      <c r="U258" s="301">
        <v>0.5037</v>
      </c>
      <c r="V258" s="301">
        <v>0.5933</v>
      </c>
      <c r="W258" s="301">
        <v>1.0351</v>
      </c>
      <c r="X258" s="301">
        <v>2.2882</v>
      </c>
      <c r="Y258" s="301">
        <v>1.8383</v>
      </c>
      <c r="Z258" s="301">
        <v>1.2961</v>
      </c>
      <c r="AA258" s="301">
        <v>6.4038</v>
      </c>
      <c r="AB258" s="301">
        <v>0.0784</v>
      </c>
      <c r="AC258" s="301">
        <v>0.2514</v>
      </c>
      <c r="AD258" s="301">
        <v>0.425</v>
      </c>
      <c r="AE258" s="301">
        <v>1.8755</v>
      </c>
      <c r="AF258" s="301">
        <v>1.0947</v>
      </c>
      <c r="AG258" s="301">
        <v>0.1084</v>
      </c>
      <c r="AH258" s="301">
        <v>3.7576</v>
      </c>
      <c r="AI258" s="301">
        <v>0.2986</v>
      </c>
      <c r="AJ258" s="301">
        <v>0.5453</v>
      </c>
      <c r="AK258" s="301">
        <v>5.3059</v>
      </c>
      <c r="AL258" s="302">
        <v>3</v>
      </c>
      <c r="AM258" t="s">
        <v>413</v>
      </c>
    </row>
    <row r="259" spans="1:39" ht="12.75">
      <c r="A259" s="441">
        <v>40913</v>
      </c>
      <c r="B259" s="301">
        <v>0.1111</v>
      </c>
      <c r="C259" s="301">
        <v>3.5081</v>
      </c>
      <c r="D259" s="301">
        <v>3.602</v>
      </c>
      <c r="E259" s="301">
        <v>0.4518</v>
      </c>
      <c r="F259" s="301">
        <v>3.4449</v>
      </c>
      <c r="G259" s="301">
        <v>2.7447</v>
      </c>
      <c r="H259" s="301">
        <v>2.7145</v>
      </c>
      <c r="I259" s="301">
        <v>4.5135</v>
      </c>
      <c r="J259" s="301">
        <v>1.402</v>
      </c>
      <c r="K259" s="301">
        <v>3.7037</v>
      </c>
      <c r="L259" s="301">
        <v>5.4616</v>
      </c>
      <c r="M259" s="301">
        <v>0.4361</v>
      </c>
      <c r="N259" s="301">
        <v>4.5679</v>
      </c>
      <c r="O259" s="301">
        <v>0.1742</v>
      </c>
      <c r="P259" s="301">
        <v>0.607</v>
      </c>
      <c r="R259" s="301">
        <v>2.8515</v>
      </c>
      <c r="S259" s="301">
        <v>0.5874</v>
      </c>
      <c r="U259" s="301">
        <v>0.5098</v>
      </c>
      <c r="V259" s="301">
        <v>0.5992</v>
      </c>
      <c r="W259" s="301">
        <v>1.0399</v>
      </c>
      <c r="X259" s="301">
        <v>2.3078</v>
      </c>
      <c r="Y259" s="301">
        <v>1.8627</v>
      </c>
      <c r="Z259" s="301">
        <v>1.3072</v>
      </c>
      <c r="AA259" s="301">
        <v>6.4612</v>
      </c>
      <c r="AB259" s="301">
        <v>0.0797</v>
      </c>
      <c r="AC259" s="301">
        <v>0.2554</v>
      </c>
      <c r="AD259" s="301">
        <v>0.4273</v>
      </c>
      <c r="AE259" s="301">
        <v>1.9142</v>
      </c>
      <c r="AF259" s="301">
        <v>1.114</v>
      </c>
      <c r="AG259" s="301">
        <v>0.1099</v>
      </c>
      <c r="AH259" s="301">
        <v>3.7897</v>
      </c>
      <c r="AI259" s="301">
        <v>0.3037</v>
      </c>
      <c r="AJ259" s="301">
        <v>0.5566</v>
      </c>
      <c r="AK259" s="301">
        <v>5.3671</v>
      </c>
      <c r="AL259" s="302">
        <v>4</v>
      </c>
      <c r="AM259" t="s">
        <v>413</v>
      </c>
    </row>
    <row r="260" spans="1:39" ht="12.75">
      <c r="A260" s="441">
        <v>40917</v>
      </c>
      <c r="B260" s="301">
        <v>0.1106</v>
      </c>
      <c r="C260" s="301">
        <v>3.515</v>
      </c>
      <c r="D260" s="301">
        <v>3.5949</v>
      </c>
      <c r="E260" s="301">
        <v>0.4526</v>
      </c>
      <c r="F260" s="301">
        <v>3.4201</v>
      </c>
      <c r="G260" s="301">
        <v>2.7599</v>
      </c>
      <c r="H260" s="301">
        <v>2.7081</v>
      </c>
      <c r="I260" s="301">
        <v>4.4902</v>
      </c>
      <c r="J260" s="301">
        <v>1.4302</v>
      </c>
      <c r="K260" s="301">
        <v>3.694</v>
      </c>
      <c r="L260" s="301">
        <v>5.4269</v>
      </c>
      <c r="M260" s="301">
        <v>0.436</v>
      </c>
      <c r="N260" s="301">
        <v>4.5727</v>
      </c>
      <c r="O260" s="301">
        <v>0.174</v>
      </c>
      <c r="P260" s="301">
        <v>0.6038</v>
      </c>
      <c r="R260" s="301">
        <v>2.8398</v>
      </c>
      <c r="S260" s="301">
        <v>0.5854</v>
      </c>
      <c r="U260" s="301">
        <v>0.5079</v>
      </c>
      <c r="V260" s="301">
        <v>0.596</v>
      </c>
      <c r="W260" s="301">
        <v>1.0321</v>
      </c>
      <c r="X260" s="301">
        <v>2.2958</v>
      </c>
      <c r="Y260" s="301">
        <v>1.8769</v>
      </c>
      <c r="Z260" s="301">
        <v>1.3004</v>
      </c>
      <c r="AA260" s="301">
        <v>6.4353</v>
      </c>
      <c r="AB260" s="301">
        <v>0.0797</v>
      </c>
      <c r="AC260" s="301">
        <v>0.2562</v>
      </c>
      <c r="AD260" s="301">
        <v>0.4313</v>
      </c>
      <c r="AE260" s="301">
        <v>1.8918</v>
      </c>
      <c r="AF260" s="301">
        <v>1.1145</v>
      </c>
      <c r="AG260" s="301">
        <v>0.1103</v>
      </c>
      <c r="AH260" s="301">
        <v>3.8775</v>
      </c>
      <c r="AI260" s="301">
        <v>0.3027</v>
      </c>
      <c r="AJ260" s="301">
        <v>0.5566</v>
      </c>
      <c r="AK260" s="301">
        <v>5.3777</v>
      </c>
      <c r="AL260" s="302">
        <v>5</v>
      </c>
      <c r="AM260" t="s">
        <v>413</v>
      </c>
    </row>
    <row r="261" spans="1:39" ht="12.75">
      <c r="A261" s="441">
        <v>40918</v>
      </c>
      <c r="B261" s="301">
        <v>0.1109</v>
      </c>
      <c r="C261" s="301">
        <v>3.5083</v>
      </c>
      <c r="D261" s="301">
        <v>3.6206</v>
      </c>
      <c r="E261" s="301">
        <v>0.4517</v>
      </c>
      <c r="F261" s="301">
        <v>3.4429</v>
      </c>
      <c r="G261" s="301">
        <v>2.7864</v>
      </c>
      <c r="H261" s="301">
        <v>2.722</v>
      </c>
      <c r="I261" s="301">
        <v>4.4883</v>
      </c>
      <c r="J261" s="301">
        <v>1.4292</v>
      </c>
      <c r="K261" s="301">
        <v>3.7015</v>
      </c>
      <c r="L261" s="301">
        <v>5.4328</v>
      </c>
      <c r="M261" s="301">
        <v>0.4364</v>
      </c>
      <c r="N261" s="301">
        <v>4.5659</v>
      </c>
      <c r="O261" s="301">
        <v>0.1738</v>
      </c>
      <c r="P261" s="301">
        <v>0.6035</v>
      </c>
      <c r="R261" s="301">
        <v>2.8372</v>
      </c>
      <c r="S261" s="301">
        <v>0.5853</v>
      </c>
      <c r="U261" s="301">
        <v>0.5085</v>
      </c>
      <c r="V261" s="301">
        <v>0.5959</v>
      </c>
      <c r="W261" s="301">
        <v>1.0282</v>
      </c>
      <c r="X261" s="301">
        <v>2.2949</v>
      </c>
      <c r="Y261" s="301">
        <v>1.8711</v>
      </c>
      <c r="Z261" s="301">
        <v>1.2999</v>
      </c>
      <c r="AA261" s="301">
        <v>6.4302</v>
      </c>
      <c r="AB261" s="301">
        <v>0.0797</v>
      </c>
      <c r="AC261" s="301">
        <v>0.2573</v>
      </c>
      <c r="AD261" s="301">
        <v>0.4316</v>
      </c>
      <c r="AE261" s="301">
        <v>1.9148</v>
      </c>
      <c r="AF261" s="301">
        <v>1.1182</v>
      </c>
      <c r="AG261" s="301">
        <v>0.1106</v>
      </c>
      <c r="AH261" s="301">
        <v>3.8493</v>
      </c>
      <c r="AI261" s="301">
        <v>0.3035</v>
      </c>
      <c r="AJ261" s="301">
        <v>0.5556</v>
      </c>
      <c r="AK261" s="301">
        <v>5.3917</v>
      </c>
      <c r="AL261" s="302">
        <v>6</v>
      </c>
      <c r="AM261" t="s">
        <v>413</v>
      </c>
    </row>
    <row r="262" spans="1:39" ht="12.75">
      <c r="A262" s="441">
        <v>40919</v>
      </c>
      <c r="B262" s="301">
        <v>0.1102</v>
      </c>
      <c r="C262" s="301">
        <v>3.4919</v>
      </c>
      <c r="D262" s="301">
        <v>3.6053</v>
      </c>
      <c r="E262" s="301">
        <v>0.4495</v>
      </c>
      <c r="F262" s="301">
        <v>3.443</v>
      </c>
      <c r="G262" s="301">
        <v>2.7801</v>
      </c>
      <c r="H262" s="301">
        <v>2.7042</v>
      </c>
      <c r="I262" s="301">
        <v>4.4645</v>
      </c>
      <c r="J262" s="301">
        <v>1.4358</v>
      </c>
      <c r="K262" s="301">
        <v>3.6807</v>
      </c>
      <c r="L262" s="301">
        <v>5.4027</v>
      </c>
      <c r="M262" s="301">
        <v>0.4342</v>
      </c>
      <c r="N262" s="301">
        <v>4.5396</v>
      </c>
      <c r="O262" s="301">
        <v>0.1733</v>
      </c>
      <c r="P262" s="301">
        <v>0.6003</v>
      </c>
      <c r="R262" s="301">
        <v>2.8169</v>
      </c>
      <c r="S262" s="301">
        <v>0.5834</v>
      </c>
      <c r="U262" s="301">
        <v>0.5068</v>
      </c>
      <c r="V262" s="301">
        <v>0.5922</v>
      </c>
      <c r="W262" s="301">
        <v>1.0228</v>
      </c>
      <c r="X262" s="301">
        <v>2.2827</v>
      </c>
      <c r="Y262" s="301">
        <v>1.8754</v>
      </c>
      <c r="Z262" s="301">
        <v>1.293</v>
      </c>
      <c r="AA262" s="301">
        <v>6.3943</v>
      </c>
      <c r="AB262" s="301">
        <v>0.0794</v>
      </c>
      <c r="AC262" s="301">
        <v>0.2567</v>
      </c>
      <c r="AD262" s="301">
        <v>0.4311</v>
      </c>
      <c r="AE262" s="301">
        <v>1.9408</v>
      </c>
      <c r="AF262" s="301">
        <v>1.1124</v>
      </c>
      <c r="AG262" s="301">
        <v>0.1104</v>
      </c>
      <c r="AH262" s="301">
        <v>3.8183</v>
      </c>
      <c r="AI262" s="301">
        <v>0.3017</v>
      </c>
      <c r="AJ262" s="301">
        <v>0.553</v>
      </c>
      <c r="AK262" s="301">
        <v>5.3299</v>
      </c>
      <c r="AL262" s="302">
        <v>7</v>
      </c>
      <c r="AM262" t="s">
        <v>413</v>
      </c>
    </row>
    <row r="263" spans="1:39" ht="12.75">
      <c r="A263" s="441">
        <v>40920</v>
      </c>
      <c r="B263" s="301">
        <v>0.1099</v>
      </c>
      <c r="C263" s="301">
        <v>3.4945</v>
      </c>
      <c r="D263" s="301">
        <v>3.6083</v>
      </c>
      <c r="E263" s="301">
        <v>0.4497</v>
      </c>
      <c r="F263" s="301">
        <v>3.4357</v>
      </c>
      <c r="G263" s="301">
        <v>2.7832</v>
      </c>
      <c r="H263" s="301">
        <v>2.7029</v>
      </c>
      <c r="I263" s="301">
        <v>4.4532</v>
      </c>
      <c r="J263" s="301">
        <v>1.4361</v>
      </c>
      <c r="K263" s="301">
        <v>3.6756</v>
      </c>
      <c r="L263" s="301">
        <v>5.3576</v>
      </c>
      <c r="M263" s="301">
        <v>0.4357</v>
      </c>
      <c r="N263" s="301">
        <v>4.5397</v>
      </c>
      <c r="O263" s="301">
        <v>0.1733</v>
      </c>
      <c r="P263" s="301">
        <v>0.5988</v>
      </c>
      <c r="R263" s="301">
        <v>2.8023</v>
      </c>
      <c r="S263" s="301">
        <v>0.5801</v>
      </c>
      <c r="U263" s="301">
        <v>0.5038</v>
      </c>
      <c r="V263" s="301">
        <v>0.5906</v>
      </c>
      <c r="W263" s="301">
        <v>1.0249</v>
      </c>
      <c r="X263" s="301">
        <v>2.2769</v>
      </c>
      <c r="Y263" s="301">
        <v>1.8881</v>
      </c>
      <c r="Z263" s="301">
        <v>1.2897</v>
      </c>
      <c r="AA263" s="301">
        <v>6.3713</v>
      </c>
      <c r="AB263" s="301">
        <v>0.0793</v>
      </c>
      <c r="AC263" s="301">
        <v>0.2573</v>
      </c>
      <c r="AD263" s="301">
        <v>0.4334</v>
      </c>
      <c r="AE263" s="301">
        <v>1.9368</v>
      </c>
      <c r="AF263" s="301">
        <v>1.112</v>
      </c>
      <c r="AG263" s="301">
        <v>0.1104</v>
      </c>
      <c r="AH263" s="301">
        <v>3.8127</v>
      </c>
      <c r="AI263" s="301">
        <v>0.3022</v>
      </c>
      <c r="AJ263" s="301">
        <v>0.5527</v>
      </c>
      <c r="AK263" s="301">
        <v>5.3405</v>
      </c>
      <c r="AL263" s="302">
        <v>8</v>
      </c>
      <c r="AM263" t="s">
        <v>413</v>
      </c>
    </row>
    <row r="264" spans="1:39" ht="12.75">
      <c r="A264" s="441">
        <v>40921</v>
      </c>
      <c r="B264" s="301">
        <v>0.1082</v>
      </c>
      <c r="C264" s="301">
        <v>3.4323</v>
      </c>
      <c r="D264" s="301">
        <v>3.5555</v>
      </c>
      <c r="E264" s="301">
        <v>0.4419</v>
      </c>
      <c r="F264" s="301">
        <v>3.3747</v>
      </c>
      <c r="G264" s="301">
        <v>2.7283</v>
      </c>
      <c r="H264" s="301">
        <v>2.6646</v>
      </c>
      <c r="I264" s="301">
        <v>4.404</v>
      </c>
      <c r="J264" s="301">
        <v>1.424</v>
      </c>
      <c r="K264" s="301">
        <v>3.6376</v>
      </c>
      <c r="L264" s="301">
        <v>5.2711</v>
      </c>
      <c r="M264" s="301">
        <v>0.4267</v>
      </c>
      <c r="N264" s="301">
        <v>4.4752</v>
      </c>
      <c r="O264" s="301">
        <v>0.1724</v>
      </c>
      <c r="P264" s="301">
        <v>0.5922</v>
      </c>
      <c r="R264" s="301">
        <v>2.7655</v>
      </c>
      <c r="S264" s="301">
        <v>0.5717</v>
      </c>
      <c r="U264" s="301">
        <v>0.4956</v>
      </c>
      <c r="V264" s="301">
        <v>0.5831</v>
      </c>
      <c r="W264" s="301">
        <v>1.0165</v>
      </c>
      <c r="X264" s="301">
        <v>2.2518</v>
      </c>
      <c r="Y264" s="301">
        <v>1.8524</v>
      </c>
      <c r="Z264" s="301">
        <v>1.2754</v>
      </c>
      <c r="AA264" s="301">
        <v>6.286</v>
      </c>
      <c r="AB264" s="301">
        <v>0.0785</v>
      </c>
      <c r="AC264" s="301">
        <v>0.2535</v>
      </c>
      <c r="AD264" s="301">
        <v>0.4262</v>
      </c>
      <c r="AE264" s="301">
        <v>1.9294</v>
      </c>
      <c r="AF264" s="301">
        <v>1.0951</v>
      </c>
      <c r="AG264" s="301">
        <v>0.1084</v>
      </c>
      <c r="AH264" s="301">
        <v>3.7505</v>
      </c>
      <c r="AI264" s="301">
        <v>0.299</v>
      </c>
      <c r="AJ264" s="301">
        <v>0.5443</v>
      </c>
      <c r="AK264" s="301">
        <v>5.2817</v>
      </c>
      <c r="AL264" s="302">
        <v>9</v>
      </c>
      <c r="AM264" t="s">
        <v>413</v>
      </c>
    </row>
    <row r="265" spans="1:39" ht="12.75">
      <c r="A265" s="441">
        <v>40924</v>
      </c>
      <c r="B265" s="301">
        <v>0.1092</v>
      </c>
      <c r="C265" s="301">
        <v>3.4798</v>
      </c>
      <c r="D265" s="301">
        <v>3.5851</v>
      </c>
      <c r="E265" s="301">
        <v>0.4483</v>
      </c>
      <c r="F265" s="301">
        <v>3.4104</v>
      </c>
      <c r="G265" s="301">
        <v>2.7622</v>
      </c>
      <c r="H265" s="301">
        <v>2.6937</v>
      </c>
      <c r="I265" s="301">
        <v>4.4056</v>
      </c>
      <c r="J265" s="301">
        <v>1.42</v>
      </c>
      <c r="K265" s="301">
        <v>3.6443</v>
      </c>
      <c r="L265" s="301">
        <v>5.3324</v>
      </c>
      <c r="M265" s="301">
        <v>0.4323</v>
      </c>
      <c r="N265" s="301">
        <v>4.5306</v>
      </c>
      <c r="O265" s="301">
        <v>0.1721</v>
      </c>
      <c r="P265" s="301">
        <v>0.5925</v>
      </c>
      <c r="R265" s="301">
        <v>2.772</v>
      </c>
      <c r="S265" s="301">
        <v>0.5742</v>
      </c>
      <c r="U265" s="301">
        <v>0.497</v>
      </c>
      <c r="V265" s="301">
        <v>0.5834</v>
      </c>
      <c r="W265" s="301">
        <v>1.0172</v>
      </c>
      <c r="X265" s="301">
        <v>2.2526</v>
      </c>
      <c r="Y265" s="301">
        <v>1.8766</v>
      </c>
      <c r="Z265" s="301">
        <v>1.2759</v>
      </c>
      <c r="AA265" s="301">
        <v>6.2978</v>
      </c>
      <c r="AB265" s="301">
        <v>0.0793</v>
      </c>
      <c r="AC265" s="301">
        <v>0.2562</v>
      </c>
      <c r="AD265" s="301">
        <v>0.4276</v>
      </c>
      <c r="AE265" s="301">
        <v>1.9492</v>
      </c>
      <c r="AF265" s="301">
        <v>1.1082</v>
      </c>
      <c r="AG265" s="301">
        <v>0.1092</v>
      </c>
      <c r="AH265" s="301">
        <v>3.8251</v>
      </c>
      <c r="AI265" s="301">
        <v>0.3019</v>
      </c>
      <c r="AJ265" s="301">
        <v>0.5508</v>
      </c>
      <c r="AK265" s="301">
        <v>5.2728</v>
      </c>
      <c r="AL265" s="302">
        <v>10</v>
      </c>
      <c r="AM265" t="s">
        <v>413</v>
      </c>
    </row>
    <row r="266" spans="1:39" ht="12.75">
      <c r="A266" s="441">
        <v>40925</v>
      </c>
      <c r="B266" s="301">
        <v>0.1078</v>
      </c>
      <c r="C266" s="301">
        <v>3.4215</v>
      </c>
      <c r="D266" s="301">
        <v>3.5693</v>
      </c>
      <c r="E266" s="301">
        <v>0.44</v>
      </c>
      <c r="F266" s="301">
        <v>3.3788</v>
      </c>
      <c r="G266" s="301">
        <v>2.7427</v>
      </c>
      <c r="H266" s="301">
        <v>2.6645</v>
      </c>
      <c r="I266" s="301">
        <v>4.3708</v>
      </c>
      <c r="J266" s="301">
        <v>1.4063</v>
      </c>
      <c r="K266" s="301">
        <v>3.6136</v>
      </c>
      <c r="L266" s="301">
        <v>5.2584</v>
      </c>
      <c r="M266" s="301">
        <v>0.4253</v>
      </c>
      <c r="N266" s="301">
        <v>4.4607</v>
      </c>
      <c r="O266" s="301">
        <v>0.1709</v>
      </c>
      <c r="P266" s="301">
        <v>0.5878</v>
      </c>
      <c r="R266" s="301">
        <v>2.742</v>
      </c>
      <c r="S266" s="301">
        <v>0.5701</v>
      </c>
      <c r="U266" s="301">
        <v>0.4944</v>
      </c>
      <c r="V266" s="301">
        <v>0.5785</v>
      </c>
      <c r="W266" s="301">
        <v>1.0109</v>
      </c>
      <c r="X266" s="301">
        <v>2.2348</v>
      </c>
      <c r="Y266" s="301">
        <v>1.8599</v>
      </c>
      <c r="Z266" s="301">
        <v>1.2658</v>
      </c>
      <c r="AA266" s="301">
        <v>6.2444</v>
      </c>
      <c r="AB266" s="301">
        <v>0.0783</v>
      </c>
      <c r="AC266" s="301">
        <v>0.254</v>
      </c>
      <c r="AD266" s="301">
        <v>0.4269</v>
      </c>
      <c r="AE266" s="301">
        <v>1.9135</v>
      </c>
      <c r="AF266" s="301">
        <v>1.094</v>
      </c>
      <c r="AG266" s="301">
        <v>0.1085</v>
      </c>
      <c r="AH266" s="301">
        <v>3.7949</v>
      </c>
      <c r="AI266" s="301">
        <v>0.2993</v>
      </c>
      <c r="AJ266" s="301">
        <v>0.5413</v>
      </c>
      <c r="AK266" s="301">
        <v>5.2312</v>
      </c>
      <c r="AL266" s="302">
        <v>11</v>
      </c>
      <c r="AM266" t="s">
        <v>413</v>
      </c>
    </row>
    <row r="267" spans="1:39" ht="12.75">
      <c r="A267" s="441">
        <v>40926</v>
      </c>
      <c r="B267" s="301">
        <v>0.107</v>
      </c>
      <c r="C267" s="301">
        <v>3.4</v>
      </c>
      <c r="D267" s="301">
        <v>3.5311</v>
      </c>
      <c r="E267" s="301">
        <v>0.4379</v>
      </c>
      <c r="F267" s="301">
        <v>3.352</v>
      </c>
      <c r="G267" s="301">
        <v>2.7306</v>
      </c>
      <c r="H267" s="301">
        <v>2.654</v>
      </c>
      <c r="I267" s="301">
        <v>4.3491</v>
      </c>
      <c r="J267" s="301">
        <v>1.4183</v>
      </c>
      <c r="K267" s="301">
        <v>3.5959</v>
      </c>
      <c r="L267" s="301">
        <v>5.2241</v>
      </c>
      <c r="M267" s="301">
        <v>0.4227</v>
      </c>
      <c r="N267" s="301">
        <v>4.4288</v>
      </c>
      <c r="O267" s="301">
        <v>0.1703</v>
      </c>
      <c r="P267" s="301">
        <v>0.5849</v>
      </c>
      <c r="R267" s="301">
        <v>2.725</v>
      </c>
      <c r="S267" s="301">
        <v>0.5655</v>
      </c>
      <c r="U267" s="301">
        <v>0.4934</v>
      </c>
      <c r="V267" s="301">
        <v>0.5757</v>
      </c>
      <c r="W267" s="301">
        <v>1.0006</v>
      </c>
      <c r="X267" s="301">
        <v>2.2237</v>
      </c>
      <c r="Y267" s="301">
        <v>1.8478</v>
      </c>
      <c r="Z267" s="301">
        <v>1.2596</v>
      </c>
      <c r="AA267" s="301">
        <v>6.2126</v>
      </c>
      <c r="AB267" s="301">
        <v>0.0783</v>
      </c>
      <c r="AC267" s="301">
        <v>0.2534</v>
      </c>
      <c r="AD267" s="301">
        <v>0.4237</v>
      </c>
      <c r="AE267" s="301">
        <v>1.9012</v>
      </c>
      <c r="AF267" s="301">
        <v>1.0901</v>
      </c>
      <c r="AG267" s="301">
        <v>0.1077</v>
      </c>
      <c r="AH267" s="301">
        <v>3.7589</v>
      </c>
      <c r="AI267" s="301">
        <v>0.2979</v>
      </c>
      <c r="AJ267" s="301">
        <v>0.5386</v>
      </c>
      <c r="AK267" s="301">
        <v>5.1971</v>
      </c>
      <c r="AL267" s="302">
        <v>12</v>
      </c>
      <c r="AM267" t="s">
        <v>413</v>
      </c>
    </row>
    <row r="268" spans="1:39" ht="12.75">
      <c r="A268" s="441">
        <v>40927</v>
      </c>
      <c r="B268" s="301">
        <v>0.1064</v>
      </c>
      <c r="C268" s="301">
        <v>3.3678</v>
      </c>
      <c r="D268" s="301">
        <v>3.5011</v>
      </c>
      <c r="E268" s="301">
        <v>0.4342</v>
      </c>
      <c r="F268" s="301">
        <v>3.3339</v>
      </c>
      <c r="G268" s="301">
        <v>2.6974</v>
      </c>
      <c r="H268" s="301">
        <v>2.6382</v>
      </c>
      <c r="I268" s="301">
        <v>4.3391</v>
      </c>
      <c r="J268" s="301">
        <v>1.4339</v>
      </c>
      <c r="K268" s="301">
        <v>3.5912</v>
      </c>
      <c r="L268" s="301">
        <v>5.1996</v>
      </c>
      <c r="M268" s="301">
        <v>0.4188</v>
      </c>
      <c r="N268" s="301">
        <v>4.3894</v>
      </c>
      <c r="O268" s="301">
        <v>0.1704</v>
      </c>
      <c r="P268" s="301">
        <v>0.5835</v>
      </c>
      <c r="R268" s="301">
        <v>2.713</v>
      </c>
      <c r="S268" s="301">
        <v>0.5656</v>
      </c>
      <c r="U268" s="301">
        <v>0.4936</v>
      </c>
      <c r="V268" s="301">
        <v>0.5742</v>
      </c>
      <c r="W268" s="301">
        <v>0.9991</v>
      </c>
      <c r="X268" s="301">
        <v>2.2186</v>
      </c>
      <c r="Y268" s="301">
        <v>1.8374</v>
      </c>
      <c r="Z268" s="301">
        <v>1.2567</v>
      </c>
      <c r="AA268" s="301">
        <v>6.1974</v>
      </c>
      <c r="AB268" s="301">
        <v>0.0774</v>
      </c>
      <c r="AC268" s="301">
        <v>0.2527</v>
      </c>
      <c r="AD268" s="301">
        <v>0.4225</v>
      </c>
      <c r="AE268" s="301">
        <v>1.9064</v>
      </c>
      <c r="AF268" s="301">
        <v>1.0845</v>
      </c>
      <c r="AG268" s="301">
        <v>0.1069</v>
      </c>
      <c r="AH268" s="301">
        <v>3.7535</v>
      </c>
      <c r="AI268" s="301">
        <v>0.2964</v>
      </c>
      <c r="AJ268" s="301">
        <v>0.5332</v>
      </c>
      <c r="AK268" s="301">
        <v>5.1765</v>
      </c>
      <c r="AL268" s="302">
        <v>13</v>
      </c>
      <c r="AM268" t="s">
        <v>413</v>
      </c>
    </row>
    <row r="269" spans="1:39" ht="12.75">
      <c r="A269" s="441">
        <v>40928</v>
      </c>
      <c r="B269" s="301">
        <v>0.1063</v>
      </c>
      <c r="C269" s="301">
        <v>3.3537</v>
      </c>
      <c r="D269" s="301">
        <v>3.4835</v>
      </c>
      <c r="E269" s="301">
        <v>0.432</v>
      </c>
      <c r="F269" s="301">
        <v>3.3036</v>
      </c>
      <c r="G269" s="301">
        <v>2.6851</v>
      </c>
      <c r="H269" s="301">
        <v>2.6268</v>
      </c>
      <c r="I269" s="301">
        <v>4.326</v>
      </c>
      <c r="J269" s="301">
        <v>1.4181</v>
      </c>
      <c r="K269" s="301">
        <v>3.5819</v>
      </c>
      <c r="L269" s="301">
        <v>5.1839</v>
      </c>
      <c r="M269" s="301">
        <v>0.4161</v>
      </c>
      <c r="N269" s="301">
        <v>4.3442</v>
      </c>
      <c r="O269" s="301">
        <v>0.1705</v>
      </c>
      <c r="P269" s="301">
        <v>0.5818</v>
      </c>
      <c r="R269" s="301">
        <v>2.7006</v>
      </c>
      <c r="S269" s="301">
        <v>0.5646</v>
      </c>
      <c r="U269" s="301">
        <v>0.4931</v>
      </c>
      <c r="V269" s="301">
        <v>0.5718</v>
      </c>
      <c r="W269" s="301">
        <v>0.9949</v>
      </c>
      <c r="X269" s="301">
        <v>2.2119</v>
      </c>
      <c r="Y269" s="301">
        <v>1.8322</v>
      </c>
      <c r="Z269" s="301">
        <v>1.2529</v>
      </c>
      <c r="AA269" s="301">
        <v>6.1884</v>
      </c>
      <c r="AB269" s="301">
        <v>0.0775</v>
      </c>
      <c r="AC269" s="301">
        <v>0.2523</v>
      </c>
      <c r="AD269" s="301">
        <v>0.4207</v>
      </c>
      <c r="AE269" s="301">
        <v>1.897</v>
      </c>
      <c r="AF269" s="301">
        <v>1.079</v>
      </c>
      <c r="AG269" s="301">
        <v>0.1068</v>
      </c>
      <c r="AH269" s="301">
        <v>3.7317</v>
      </c>
      <c r="AI269" s="301">
        <v>0.2956</v>
      </c>
      <c r="AJ269" s="301">
        <v>0.5293</v>
      </c>
      <c r="AK269" s="301">
        <v>5.1421</v>
      </c>
      <c r="AL269" s="302">
        <v>14</v>
      </c>
      <c r="AM269" t="s">
        <v>413</v>
      </c>
    </row>
    <row r="270" spans="1:39" ht="12.75">
      <c r="A270" s="441">
        <v>40931</v>
      </c>
      <c r="B270" s="301">
        <v>0.1062</v>
      </c>
      <c r="C270" s="301">
        <v>3.3353</v>
      </c>
      <c r="D270" s="301">
        <v>3.5033</v>
      </c>
      <c r="E270" s="301">
        <v>0.4297</v>
      </c>
      <c r="F270" s="301">
        <v>3.2934</v>
      </c>
      <c r="G270" s="301">
        <v>2.6954</v>
      </c>
      <c r="H270" s="301">
        <v>2.628</v>
      </c>
      <c r="I270" s="301">
        <v>4.3111</v>
      </c>
      <c r="J270" s="301">
        <v>1.42</v>
      </c>
      <c r="K270" s="301">
        <v>3.5707</v>
      </c>
      <c r="L270" s="301">
        <v>5.1872</v>
      </c>
      <c r="M270" s="301">
        <v>0.4153</v>
      </c>
      <c r="N270" s="301">
        <v>4.331</v>
      </c>
      <c r="O270" s="301">
        <v>0.1694</v>
      </c>
      <c r="P270" s="301">
        <v>0.5798</v>
      </c>
      <c r="R270" s="301">
        <v>2.6891</v>
      </c>
      <c r="S270" s="301">
        <v>0.5612</v>
      </c>
      <c r="U270" s="301">
        <v>0.4905</v>
      </c>
      <c r="V270" s="301">
        <v>0.5697</v>
      </c>
      <c r="W270" s="301">
        <v>0.9916</v>
      </c>
      <c r="X270" s="301">
        <v>2.2043</v>
      </c>
      <c r="Y270" s="301">
        <v>1.8169</v>
      </c>
      <c r="Z270" s="301">
        <v>1.2486</v>
      </c>
      <c r="AA270" s="301">
        <v>6.1697</v>
      </c>
      <c r="AB270" s="301">
        <v>0.077</v>
      </c>
      <c r="AC270" s="301">
        <v>0.2528</v>
      </c>
      <c r="AD270" s="301">
        <v>0.4182</v>
      </c>
      <c r="AE270" s="301">
        <v>1.9003</v>
      </c>
      <c r="AF270" s="301">
        <v>1.0731</v>
      </c>
      <c r="AG270" s="301">
        <v>0.1067</v>
      </c>
      <c r="AH270" s="301">
        <v>3.7326</v>
      </c>
      <c r="AI270" s="301">
        <v>0.2942</v>
      </c>
      <c r="AJ270" s="301">
        <v>0.5265</v>
      </c>
      <c r="AK270" s="301">
        <v>5.127</v>
      </c>
      <c r="AL270" s="302">
        <v>15</v>
      </c>
      <c r="AM270" t="s">
        <v>413</v>
      </c>
    </row>
    <row r="271" spans="1:39" ht="12.75">
      <c r="A271" s="441">
        <v>40932</v>
      </c>
      <c r="B271" s="301">
        <v>0.1049</v>
      </c>
      <c r="C271" s="301">
        <v>3.297</v>
      </c>
      <c r="D271" s="301">
        <v>3.4508</v>
      </c>
      <c r="E271" s="301">
        <v>0.4247</v>
      </c>
      <c r="F271" s="301">
        <v>3.2615</v>
      </c>
      <c r="G271" s="301">
        <v>2.6641</v>
      </c>
      <c r="H271" s="301">
        <v>2.5942</v>
      </c>
      <c r="I271" s="301">
        <v>4.2885</v>
      </c>
      <c r="J271" s="301">
        <v>1.4234</v>
      </c>
      <c r="K271" s="301">
        <v>3.5545</v>
      </c>
      <c r="L271" s="301">
        <v>5.1224</v>
      </c>
      <c r="M271" s="301">
        <v>0.4096</v>
      </c>
      <c r="N271" s="301">
        <v>4.264</v>
      </c>
      <c r="O271" s="301">
        <v>0.1692</v>
      </c>
      <c r="P271" s="301">
        <v>0.5767</v>
      </c>
      <c r="R271" s="301">
        <v>2.67</v>
      </c>
      <c r="S271" s="301">
        <v>0.5616</v>
      </c>
      <c r="U271" s="301">
        <v>0.4878</v>
      </c>
      <c r="V271" s="301">
        <v>0.5667</v>
      </c>
      <c r="W271" s="301">
        <v>0.9873</v>
      </c>
      <c r="X271" s="301">
        <v>2.1927</v>
      </c>
      <c r="Y271" s="301">
        <v>1.808</v>
      </c>
      <c r="Z271" s="301">
        <v>1.242</v>
      </c>
      <c r="AA271" s="301">
        <v>6.1435</v>
      </c>
      <c r="AB271" s="301">
        <v>0.0764</v>
      </c>
      <c r="AC271" s="301">
        <v>0.2492</v>
      </c>
      <c r="AD271" s="301">
        <v>0.4126</v>
      </c>
      <c r="AE271" s="301">
        <v>1.8765</v>
      </c>
      <c r="AF271" s="301">
        <v>1.0607</v>
      </c>
      <c r="AG271" s="301">
        <v>0.1066</v>
      </c>
      <c r="AH271" s="301">
        <v>3.6859</v>
      </c>
      <c r="AI271" s="301">
        <v>0.2915</v>
      </c>
      <c r="AJ271" s="301">
        <v>0.5204</v>
      </c>
      <c r="AK271" s="301">
        <v>5.0739</v>
      </c>
      <c r="AL271" s="302">
        <v>16</v>
      </c>
      <c r="AM271" t="s">
        <v>413</v>
      </c>
    </row>
    <row r="272" spans="1:39" ht="12.75">
      <c r="A272" s="441">
        <v>40933</v>
      </c>
      <c r="B272" s="301">
        <v>0.1046</v>
      </c>
      <c r="C272" s="301">
        <v>3.299</v>
      </c>
      <c r="D272" s="301">
        <v>3.459</v>
      </c>
      <c r="E272" s="301">
        <v>0.4251</v>
      </c>
      <c r="F272" s="301">
        <v>3.2568</v>
      </c>
      <c r="G272" s="301">
        <v>2.6649</v>
      </c>
      <c r="H272" s="301">
        <v>2.5992</v>
      </c>
      <c r="I272" s="301">
        <v>4.2855</v>
      </c>
      <c r="J272" s="301">
        <v>1.4352</v>
      </c>
      <c r="K272" s="301">
        <v>3.5453</v>
      </c>
      <c r="L272" s="301">
        <v>5.1385</v>
      </c>
      <c r="M272" s="301">
        <v>0.4101</v>
      </c>
      <c r="N272" s="301">
        <v>4.2234</v>
      </c>
      <c r="O272" s="301">
        <v>0.1693</v>
      </c>
      <c r="P272" s="301">
        <v>0.5764</v>
      </c>
      <c r="R272" s="301">
        <v>2.6626</v>
      </c>
      <c r="S272" s="301">
        <v>0.5578</v>
      </c>
      <c r="U272" s="301">
        <v>0.4849</v>
      </c>
      <c r="V272" s="301">
        <v>0.566</v>
      </c>
      <c r="W272" s="301">
        <v>0.9862</v>
      </c>
      <c r="X272" s="301">
        <v>2.1912</v>
      </c>
      <c r="Y272" s="301">
        <v>1.8091</v>
      </c>
      <c r="Z272" s="301">
        <v>1.2411</v>
      </c>
      <c r="AA272" s="301">
        <v>6.1436</v>
      </c>
      <c r="AB272" s="301">
        <v>0.0765</v>
      </c>
      <c r="AC272" s="301">
        <v>0.2508</v>
      </c>
      <c r="AD272" s="301">
        <v>0.414</v>
      </c>
      <c r="AE272" s="301">
        <v>1.8764</v>
      </c>
      <c r="AF272" s="301">
        <v>1.0725</v>
      </c>
      <c r="AG272" s="301">
        <v>0.1075</v>
      </c>
      <c r="AH272" s="301">
        <v>3.6779</v>
      </c>
      <c r="AI272" s="301">
        <v>0.2922</v>
      </c>
      <c r="AJ272" s="301">
        <v>0.521</v>
      </c>
      <c r="AK272" s="301">
        <v>5.0727</v>
      </c>
      <c r="AL272" s="302">
        <v>17</v>
      </c>
      <c r="AM272" t="s">
        <v>413</v>
      </c>
    </row>
    <row r="273" spans="1:39" ht="12.75">
      <c r="A273" s="441">
        <v>40934</v>
      </c>
      <c r="B273" s="301">
        <v>0.103</v>
      </c>
      <c r="C273" s="301">
        <v>3.2233</v>
      </c>
      <c r="D273" s="301">
        <v>3.4396</v>
      </c>
      <c r="E273" s="301">
        <v>0.4154</v>
      </c>
      <c r="F273" s="301">
        <v>3.222</v>
      </c>
      <c r="G273" s="301">
        <v>2.649</v>
      </c>
      <c r="H273" s="301">
        <v>2.5661</v>
      </c>
      <c r="I273" s="301">
        <v>4.2431</v>
      </c>
      <c r="J273" s="301">
        <v>1.4427</v>
      </c>
      <c r="K273" s="301">
        <v>3.5147</v>
      </c>
      <c r="L273" s="301">
        <v>5.0588</v>
      </c>
      <c r="M273" s="301">
        <v>0.4025</v>
      </c>
      <c r="N273" s="301">
        <v>4.1607</v>
      </c>
      <c r="O273" s="301">
        <v>0.1687</v>
      </c>
      <c r="P273" s="301">
        <v>0.5708</v>
      </c>
      <c r="R273" s="301">
        <v>2.6267</v>
      </c>
      <c r="S273" s="301">
        <v>0.5536</v>
      </c>
      <c r="U273" s="301">
        <v>0.4777</v>
      </c>
      <c r="V273" s="301">
        <v>0.5598</v>
      </c>
      <c r="W273" s="301">
        <v>0.9783</v>
      </c>
      <c r="X273" s="301">
        <v>2.1695</v>
      </c>
      <c r="Y273" s="301">
        <v>1.7958</v>
      </c>
      <c r="Z273" s="301">
        <v>1.2289</v>
      </c>
      <c r="AA273" s="301">
        <v>6.0759</v>
      </c>
      <c r="AB273" s="301">
        <v>0.0752</v>
      </c>
      <c r="AC273" s="301">
        <v>0.2509</v>
      </c>
      <c r="AD273" s="301">
        <v>0.4116</v>
      </c>
      <c r="AE273" s="301">
        <v>1.8302</v>
      </c>
      <c r="AF273" s="301">
        <v>1.0594</v>
      </c>
      <c r="AG273" s="301">
        <v>0.1065</v>
      </c>
      <c r="AH273" s="301">
        <v>3.6104</v>
      </c>
      <c r="AI273" s="301">
        <v>0.2876</v>
      </c>
      <c r="AJ273" s="301">
        <v>0.5087</v>
      </c>
      <c r="AK273" s="301">
        <v>5.0357</v>
      </c>
      <c r="AL273" s="302">
        <v>18</v>
      </c>
      <c r="AM273" t="s">
        <v>413</v>
      </c>
    </row>
    <row r="274" spans="1:39" ht="12.75">
      <c r="A274" s="441">
        <v>40935</v>
      </c>
      <c r="B274" s="301">
        <v>0.1031</v>
      </c>
      <c r="C274" s="301">
        <v>3.2163</v>
      </c>
      <c r="D274" s="301">
        <v>3.4265</v>
      </c>
      <c r="E274" s="301">
        <v>0.4147</v>
      </c>
      <c r="F274" s="301">
        <v>3.2131</v>
      </c>
      <c r="G274" s="301">
        <v>2.6507</v>
      </c>
      <c r="H274" s="301">
        <v>2.5622</v>
      </c>
      <c r="I274" s="301">
        <v>4.2223</v>
      </c>
      <c r="J274" s="301">
        <v>1.4349</v>
      </c>
      <c r="K274" s="301">
        <v>3.4966</v>
      </c>
      <c r="L274" s="301">
        <v>5.0551</v>
      </c>
      <c r="M274" s="301">
        <v>0.4003</v>
      </c>
      <c r="N274" s="301">
        <v>4.1801</v>
      </c>
      <c r="O274" s="301">
        <v>0.1679</v>
      </c>
      <c r="P274" s="301">
        <v>0.568</v>
      </c>
      <c r="R274" s="301">
        <v>2.6112</v>
      </c>
      <c r="S274" s="301">
        <v>0.5516</v>
      </c>
      <c r="U274" s="301">
        <v>0.4748</v>
      </c>
      <c r="V274" s="301">
        <v>0.5583</v>
      </c>
      <c r="W274" s="301">
        <v>0.9739</v>
      </c>
      <c r="X274" s="301">
        <v>2.1589</v>
      </c>
      <c r="Y274" s="301">
        <v>1.7979</v>
      </c>
      <c r="Z274" s="301">
        <v>1.2228</v>
      </c>
      <c r="AA274" s="301">
        <v>6.0409</v>
      </c>
      <c r="AB274" s="301">
        <v>0.075</v>
      </c>
      <c r="AC274" s="301">
        <v>0.2483</v>
      </c>
      <c r="AD274" s="301">
        <v>0.4126</v>
      </c>
      <c r="AE274" s="301">
        <v>1.8375</v>
      </c>
      <c r="AF274" s="301">
        <v>1.0572</v>
      </c>
      <c r="AG274" s="301">
        <v>0.106</v>
      </c>
      <c r="AH274" s="301">
        <v>3.5759</v>
      </c>
      <c r="AI274" s="301">
        <v>0.2866</v>
      </c>
      <c r="AJ274" s="301">
        <v>0.5078</v>
      </c>
      <c r="AK274" s="301">
        <v>4.9664</v>
      </c>
      <c r="AL274" s="302">
        <v>19</v>
      </c>
      <c r="AM274" t="s">
        <v>413</v>
      </c>
    </row>
    <row r="275" spans="1:39" ht="12.75">
      <c r="A275" s="441">
        <v>40938</v>
      </c>
      <c r="B275" s="301">
        <v>0.1041</v>
      </c>
      <c r="C275" s="301">
        <v>3.2433</v>
      </c>
      <c r="D275" s="301">
        <v>3.4193</v>
      </c>
      <c r="E275" s="301">
        <v>0.418</v>
      </c>
      <c r="F275" s="301">
        <v>3.226</v>
      </c>
      <c r="G275" s="301">
        <v>2.6504</v>
      </c>
      <c r="H275" s="301">
        <v>2.5737</v>
      </c>
      <c r="I275" s="301">
        <v>4.2589</v>
      </c>
      <c r="J275" s="301">
        <v>1.4399</v>
      </c>
      <c r="K275" s="301">
        <v>3.5335</v>
      </c>
      <c r="L275" s="301">
        <v>5.0816</v>
      </c>
      <c r="M275" s="301">
        <v>0.4032</v>
      </c>
      <c r="N275" s="301">
        <v>4.2278</v>
      </c>
      <c r="O275" s="301">
        <v>0.1688</v>
      </c>
      <c r="P275" s="301">
        <v>0.5728</v>
      </c>
      <c r="R275" s="301">
        <v>2.6319</v>
      </c>
      <c r="S275" s="301">
        <v>0.5546</v>
      </c>
      <c r="U275" s="301">
        <v>0.478</v>
      </c>
      <c r="V275" s="301">
        <v>0.562</v>
      </c>
      <c r="W275" s="301">
        <v>0.983</v>
      </c>
      <c r="X275" s="301">
        <v>2.1776</v>
      </c>
      <c r="Y275" s="301">
        <v>1.8097</v>
      </c>
      <c r="Z275" s="301">
        <v>1.2334</v>
      </c>
      <c r="AA275" s="301">
        <v>6.0959</v>
      </c>
      <c r="AB275" s="301">
        <v>0.0753</v>
      </c>
      <c r="AC275" s="301">
        <v>0.2491</v>
      </c>
      <c r="AD275" s="301">
        <v>0.4138</v>
      </c>
      <c r="AE275" s="301">
        <v>1.8667</v>
      </c>
      <c r="AF275" s="301">
        <v>1.0608</v>
      </c>
      <c r="AG275" s="301">
        <v>0.1066</v>
      </c>
      <c r="AH275" s="301">
        <v>3.6008</v>
      </c>
      <c r="AI275" s="301">
        <v>0.2871</v>
      </c>
      <c r="AJ275" s="301">
        <v>0.5121</v>
      </c>
      <c r="AK275" s="301">
        <v>5.0126</v>
      </c>
      <c r="AL275" s="302">
        <v>20</v>
      </c>
      <c r="AM275" t="s">
        <v>413</v>
      </c>
    </row>
    <row r="276" spans="1:39" ht="12.75">
      <c r="A276" s="441">
        <v>40939</v>
      </c>
      <c r="B276" s="301">
        <v>0.1037</v>
      </c>
      <c r="C276" s="301">
        <v>3.2032</v>
      </c>
      <c r="D276" s="301">
        <v>3.4193</v>
      </c>
      <c r="E276" s="301">
        <v>0.413</v>
      </c>
      <c r="F276" s="301">
        <v>3.2083</v>
      </c>
      <c r="G276" s="301">
        <v>2.6571</v>
      </c>
      <c r="H276" s="301">
        <v>2.5595</v>
      </c>
      <c r="I276" s="301">
        <v>4.227</v>
      </c>
      <c r="J276" s="301">
        <v>1.441</v>
      </c>
      <c r="K276" s="301">
        <v>3.5054</v>
      </c>
      <c r="L276" s="301">
        <v>5.0496</v>
      </c>
      <c r="M276" s="301">
        <v>0.4002</v>
      </c>
      <c r="N276" s="301">
        <v>4.1995</v>
      </c>
      <c r="O276" s="301">
        <v>0.168</v>
      </c>
      <c r="P276" s="301">
        <v>0.5686</v>
      </c>
      <c r="R276" s="301">
        <v>2.6093</v>
      </c>
      <c r="S276" s="301">
        <v>0.552</v>
      </c>
      <c r="U276" s="301">
        <v>0.4754</v>
      </c>
      <c r="V276" s="301">
        <v>0.5575</v>
      </c>
      <c r="W276" s="301">
        <v>0.9738</v>
      </c>
      <c r="X276" s="301">
        <v>2.1613</v>
      </c>
      <c r="Y276" s="301">
        <v>1.8067</v>
      </c>
      <c r="Z276" s="301">
        <v>1.2242</v>
      </c>
      <c r="AA276" s="301">
        <v>6.045</v>
      </c>
      <c r="AB276" s="301">
        <v>0.0747</v>
      </c>
      <c r="AC276" s="301">
        <v>0.2481</v>
      </c>
      <c r="AD276" s="301">
        <v>0.412</v>
      </c>
      <c r="AE276" s="301">
        <v>1.8325</v>
      </c>
      <c r="AF276" s="301">
        <v>1.0531</v>
      </c>
      <c r="AG276" s="301">
        <v>0.1064</v>
      </c>
      <c r="AH276" s="301">
        <v>3.5777</v>
      </c>
      <c r="AI276" s="301">
        <v>0.2856</v>
      </c>
      <c r="AJ276" s="301">
        <v>0.5078</v>
      </c>
      <c r="AK276" s="301">
        <v>4.9893</v>
      </c>
      <c r="AL276" s="302">
        <v>21</v>
      </c>
      <c r="AM276" t="s">
        <v>413</v>
      </c>
    </row>
    <row r="277" spans="1:39" ht="12.75">
      <c r="A277" s="441">
        <v>40940</v>
      </c>
      <c r="B277" s="301">
        <v>0.1029</v>
      </c>
      <c r="C277" s="301">
        <v>3.1913</v>
      </c>
      <c r="D277" s="301">
        <v>3.4068</v>
      </c>
      <c r="E277" s="301">
        <v>0.4114</v>
      </c>
      <c r="F277" s="301">
        <v>3.1917</v>
      </c>
      <c r="G277" s="301">
        <v>2.6459</v>
      </c>
      <c r="H277" s="301">
        <v>2.546</v>
      </c>
      <c r="I277" s="301">
        <v>4.1933</v>
      </c>
      <c r="J277" s="301">
        <v>1.4285</v>
      </c>
      <c r="K277" s="301">
        <v>3.4824</v>
      </c>
      <c r="L277" s="301">
        <v>5.0285</v>
      </c>
      <c r="M277" s="301">
        <v>0.3972</v>
      </c>
      <c r="N277" s="301">
        <v>4.1935</v>
      </c>
      <c r="O277" s="301">
        <v>0.1663</v>
      </c>
      <c r="P277" s="301">
        <v>0.5641</v>
      </c>
      <c r="R277" s="301">
        <v>2.5899</v>
      </c>
      <c r="S277" s="301">
        <v>0.5483</v>
      </c>
      <c r="U277" s="301">
        <v>0.473</v>
      </c>
      <c r="V277" s="301">
        <v>0.5533</v>
      </c>
      <c r="W277" s="301">
        <v>0.9646</v>
      </c>
      <c r="X277" s="301">
        <v>2.1441</v>
      </c>
      <c r="Y277" s="301">
        <v>1.804</v>
      </c>
      <c r="Z277" s="301">
        <v>1.2145</v>
      </c>
      <c r="AA277" s="301">
        <v>6.0011</v>
      </c>
      <c r="AB277" s="301">
        <v>0.0743</v>
      </c>
      <c r="AC277" s="301">
        <v>0.2464</v>
      </c>
      <c r="AD277" s="301">
        <v>0.4103</v>
      </c>
      <c r="AE277" s="301">
        <v>1.8263</v>
      </c>
      <c r="AF277" s="301">
        <v>1.049</v>
      </c>
      <c r="AG277" s="301">
        <v>0.1056</v>
      </c>
      <c r="AH277" s="301">
        <v>3.5756</v>
      </c>
      <c r="AI277" s="301">
        <v>0.2838</v>
      </c>
      <c r="AJ277" s="301">
        <v>0.5058</v>
      </c>
      <c r="AK277" s="301">
        <v>4.9364</v>
      </c>
      <c r="AL277" s="302">
        <v>22</v>
      </c>
      <c r="AM277" t="s">
        <v>413</v>
      </c>
    </row>
    <row r="278" spans="1:39" ht="12.75">
      <c r="A278" s="441">
        <v>40941</v>
      </c>
      <c r="B278" s="301">
        <v>0.1033</v>
      </c>
      <c r="C278" s="301">
        <v>3.1955</v>
      </c>
      <c r="D278" s="301">
        <v>3.4219</v>
      </c>
      <c r="E278" s="301">
        <v>0.412</v>
      </c>
      <c r="F278" s="301">
        <v>3.1973</v>
      </c>
      <c r="G278" s="301">
        <v>2.6617</v>
      </c>
      <c r="H278" s="301">
        <v>2.564</v>
      </c>
      <c r="I278" s="301">
        <v>4.1995</v>
      </c>
      <c r="J278" s="301">
        <v>1.4352</v>
      </c>
      <c r="K278" s="301">
        <v>3.4861</v>
      </c>
      <c r="L278" s="301">
        <v>5.059</v>
      </c>
      <c r="M278" s="301">
        <v>0.3974</v>
      </c>
      <c r="N278" s="301">
        <v>4.201</v>
      </c>
      <c r="O278" s="301">
        <v>0.1669</v>
      </c>
      <c r="P278" s="301">
        <v>0.5649</v>
      </c>
      <c r="R278" s="301">
        <v>2.5955</v>
      </c>
      <c r="S278" s="301">
        <v>0.549</v>
      </c>
      <c r="U278" s="301">
        <v>0.4739</v>
      </c>
      <c r="V278" s="301">
        <v>0.5536</v>
      </c>
      <c r="W278" s="301">
        <v>0.9663</v>
      </c>
      <c r="X278" s="301">
        <v>2.1473</v>
      </c>
      <c r="Y278" s="301">
        <v>1.8139</v>
      </c>
      <c r="Z278" s="301">
        <v>1.2162</v>
      </c>
      <c r="AA278" s="301">
        <v>5.9989</v>
      </c>
      <c r="AB278" s="301">
        <v>0.0749</v>
      </c>
      <c r="AC278" s="301">
        <v>0.2482</v>
      </c>
      <c r="AD278" s="301">
        <v>0.415</v>
      </c>
      <c r="AE278" s="301">
        <v>1.8425</v>
      </c>
      <c r="AF278" s="301">
        <v>1.0588</v>
      </c>
      <c r="AG278" s="301">
        <v>0.1056</v>
      </c>
      <c r="AH278" s="301">
        <v>3.5469</v>
      </c>
      <c r="AI278" s="301">
        <v>0.2857</v>
      </c>
      <c r="AJ278" s="301">
        <v>0.5072</v>
      </c>
      <c r="AK278" s="301">
        <v>4.939</v>
      </c>
      <c r="AL278" s="302">
        <v>23</v>
      </c>
      <c r="AM278" t="s">
        <v>413</v>
      </c>
    </row>
    <row r="279" spans="1:39" ht="12.75">
      <c r="A279" s="441">
        <v>40942</v>
      </c>
      <c r="B279" s="301">
        <v>0.1032</v>
      </c>
      <c r="C279" s="301">
        <v>3.1848</v>
      </c>
      <c r="D279" s="301">
        <v>3.4116</v>
      </c>
      <c r="E279" s="301">
        <v>0.4106</v>
      </c>
      <c r="F279" s="301">
        <v>3.1875</v>
      </c>
      <c r="G279" s="301">
        <v>2.6517</v>
      </c>
      <c r="H279" s="301">
        <v>2.556</v>
      </c>
      <c r="I279" s="301">
        <v>4.1932</v>
      </c>
      <c r="J279" s="301">
        <v>1.4399</v>
      </c>
      <c r="K279" s="301">
        <v>3.4784</v>
      </c>
      <c r="L279" s="301">
        <v>5.0469</v>
      </c>
      <c r="M279" s="301">
        <v>0.3961</v>
      </c>
      <c r="N279" s="301">
        <v>4.1792</v>
      </c>
      <c r="O279" s="301">
        <v>0.1674</v>
      </c>
      <c r="P279" s="301">
        <v>0.5641</v>
      </c>
      <c r="R279" s="301">
        <v>2.5927</v>
      </c>
      <c r="S279" s="301">
        <v>0.5476</v>
      </c>
      <c r="U279" s="301">
        <v>0.4737</v>
      </c>
      <c r="V279" s="301">
        <v>0.5529</v>
      </c>
      <c r="W279" s="301">
        <v>0.9654</v>
      </c>
      <c r="X279" s="301">
        <v>2.144</v>
      </c>
      <c r="Y279" s="301">
        <v>1.8148</v>
      </c>
      <c r="Z279" s="301">
        <v>1.2144</v>
      </c>
      <c r="AA279" s="301">
        <v>5.9899</v>
      </c>
      <c r="AB279" s="301">
        <v>0.0747</v>
      </c>
      <c r="AC279" s="301">
        <v>0.2486</v>
      </c>
      <c r="AD279" s="301">
        <v>0.4169</v>
      </c>
      <c r="AE279" s="301">
        <v>1.8526</v>
      </c>
      <c r="AF279" s="301">
        <v>1.0576</v>
      </c>
      <c r="AG279" s="301">
        <v>0.1054</v>
      </c>
      <c r="AH279" s="301">
        <v>3.5581</v>
      </c>
      <c r="AI279" s="301">
        <v>0.2848</v>
      </c>
      <c r="AJ279" s="301">
        <v>0.5053</v>
      </c>
      <c r="AK279" s="301">
        <v>4.9646</v>
      </c>
      <c r="AL279" s="302">
        <v>24</v>
      </c>
      <c r="AM279" t="s">
        <v>413</v>
      </c>
    </row>
    <row r="280" spans="1:39" ht="12.75">
      <c r="A280" s="441">
        <v>40945</v>
      </c>
      <c r="B280" s="301">
        <v>0.1038</v>
      </c>
      <c r="C280" s="301">
        <v>3.2084</v>
      </c>
      <c r="D280" s="301">
        <v>3.4315</v>
      </c>
      <c r="E280" s="301">
        <v>0.4137</v>
      </c>
      <c r="F280" s="301">
        <v>3.2163</v>
      </c>
      <c r="G280" s="301">
        <v>2.6635</v>
      </c>
      <c r="H280" s="301">
        <v>2.5683</v>
      </c>
      <c r="I280" s="301">
        <v>4.1837</v>
      </c>
      <c r="J280" s="301">
        <v>1.4276</v>
      </c>
      <c r="K280" s="301">
        <v>3.4695</v>
      </c>
      <c r="L280" s="301">
        <v>5.0494</v>
      </c>
      <c r="M280" s="301">
        <v>0.3992</v>
      </c>
      <c r="N280" s="301">
        <v>4.1831</v>
      </c>
      <c r="O280" s="301">
        <v>0.1671</v>
      </c>
      <c r="P280" s="301">
        <v>0.5628</v>
      </c>
      <c r="R280" s="301">
        <v>2.5891</v>
      </c>
      <c r="S280" s="301">
        <v>0.5499</v>
      </c>
      <c r="U280" s="301">
        <v>0.4751</v>
      </c>
      <c r="V280" s="301">
        <v>0.5517</v>
      </c>
      <c r="W280" s="301">
        <v>0.9636</v>
      </c>
      <c r="X280" s="301">
        <v>2.1391</v>
      </c>
      <c r="Y280" s="301">
        <v>1.8177</v>
      </c>
      <c r="Z280" s="301">
        <v>1.2117</v>
      </c>
      <c r="AA280" s="301">
        <v>5.9827</v>
      </c>
      <c r="AB280" s="301">
        <v>0.0754</v>
      </c>
      <c r="AC280" s="301">
        <v>0.252</v>
      </c>
      <c r="AD280" s="301">
        <v>0.4208</v>
      </c>
      <c r="AE280" s="301">
        <v>1.8693</v>
      </c>
      <c r="AF280" s="301">
        <v>1.0653</v>
      </c>
      <c r="AG280" s="301">
        <v>0.1059</v>
      </c>
      <c r="AH280" s="301">
        <v>3.5614</v>
      </c>
      <c r="AI280" s="301">
        <v>0.2862</v>
      </c>
      <c r="AJ280" s="301">
        <v>0.5082</v>
      </c>
      <c r="AK280" s="301">
        <v>4.9307</v>
      </c>
      <c r="AL280" s="302">
        <v>25</v>
      </c>
      <c r="AM280" t="s">
        <v>413</v>
      </c>
    </row>
    <row r="281" spans="1:39" ht="12.75">
      <c r="A281" s="441">
        <v>40946</v>
      </c>
      <c r="B281" s="301">
        <v>0.1029</v>
      </c>
      <c r="C281" s="301">
        <v>3.1806</v>
      </c>
      <c r="D281" s="301">
        <v>3.4333</v>
      </c>
      <c r="E281" s="301">
        <v>0.4101</v>
      </c>
      <c r="F281" s="301">
        <v>3.194</v>
      </c>
      <c r="G281" s="301">
        <v>2.6601</v>
      </c>
      <c r="H281" s="301">
        <v>2.552</v>
      </c>
      <c r="I281" s="301">
        <v>4.1818</v>
      </c>
      <c r="J281" s="301">
        <v>1.4337</v>
      </c>
      <c r="K281" s="301">
        <v>3.4633</v>
      </c>
      <c r="L281" s="301">
        <v>5.0338</v>
      </c>
      <c r="M281" s="301">
        <v>0.3961</v>
      </c>
      <c r="N281" s="301">
        <v>4.1439</v>
      </c>
      <c r="O281" s="301">
        <v>0.1677</v>
      </c>
      <c r="P281" s="301">
        <v>0.5625</v>
      </c>
      <c r="R281" s="301">
        <v>2.583</v>
      </c>
      <c r="S281" s="301">
        <v>0.548</v>
      </c>
      <c r="U281" s="301">
        <v>0.4736</v>
      </c>
      <c r="V281" s="301">
        <v>0.5522</v>
      </c>
      <c r="W281" s="301">
        <v>0.9621</v>
      </c>
      <c r="X281" s="301">
        <v>2.1382</v>
      </c>
      <c r="Y281" s="301">
        <v>1.8108</v>
      </c>
      <c r="Z281" s="301">
        <v>1.2111</v>
      </c>
      <c r="AA281" s="301">
        <v>5.9838</v>
      </c>
      <c r="AB281" s="301">
        <v>0.075</v>
      </c>
      <c r="AC281" s="301">
        <v>0.251</v>
      </c>
      <c r="AD281" s="301">
        <v>0.4203</v>
      </c>
      <c r="AE281" s="301">
        <v>1.8427</v>
      </c>
      <c r="AF281" s="301">
        <v>1.0561</v>
      </c>
      <c r="AG281" s="301">
        <v>0.106</v>
      </c>
      <c r="AH281" s="301">
        <v>3.5514</v>
      </c>
      <c r="AI281" s="301">
        <v>0.2843</v>
      </c>
      <c r="AJ281" s="301">
        <v>0.5044</v>
      </c>
      <c r="AK281" s="301">
        <v>4.9547</v>
      </c>
      <c r="AL281" s="302">
        <v>26</v>
      </c>
      <c r="AM281" t="s">
        <v>413</v>
      </c>
    </row>
    <row r="282" spans="1:39" ht="12.75">
      <c r="A282" s="441">
        <v>40947</v>
      </c>
      <c r="B282" s="301">
        <v>0.1023</v>
      </c>
      <c r="C282" s="301">
        <v>3.1461</v>
      </c>
      <c r="D282" s="301">
        <v>3.4085</v>
      </c>
      <c r="E282" s="301">
        <v>0.4058</v>
      </c>
      <c r="F282" s="301">
        <v>3.1632</v>
      </c>
      <c r="G282" s="301">
        <v>2.6376</v>
      </c>
      <c r="H282" s="301">
        <v>2.5295</v>
      </c>
      <c r="I282" s="301">
        <v>4.171</v>
      </c>
      <c r="J282" s="301">
        <v>1.4419</v>
      </c>
      <c r="K282" s="301">
        <v>3.4431</v>
      </c>
      <c r="L282" s="301">
        <v>5.006</v>
      </c>
      <c r="M282" s="301">
        <v>0.3913</v>
      </c>
      <c r="N282" s="301">
        <v>4.0816</v>
      </c>
      <c r="O282" s="301">
        <v>0.1679</v>
      </c>
      <c r="P282" s="301">
        <v>0.5611</v>
      </c>
      <c r="R282" s="301">
        <v>2.5747</v>
      </c>
      <c r="S282" s="301">
        <v>0.5457</v>
      </c>
      <c r="U282" s="301">
        <v>0.4718</v>
      </c>
      <c r="V282" s="301">
        <v>0.5502</v>
      </c>
      <c r="W282" s="301">
        <v>0.9575</v>
      </c>
      <c r="X282" s="301">
        <v>2.1327</v>
      </c>
      <c r="Y282" s="301">
        <v>1.8046</v>
      </c>
      <c r="Z282" s="301">
        <v>1.208</v>
      </c>
      <c r="AA282" s="301">
        <v>5.9675</v>
      </c>
      <c r="AB282" s="301">
        <v>0.0745</v>
      </c>
      <c r="AC282" s="301">
        <v>0.2489</v>
      </c>
      <c r="AD282" s="301">
        <v>0.4171</v>
      </c>
      <c r="AE282" s="301">
        <v>1.8234</v>
      </c>
      <c r="AF282" s="301">
        <v>1.0477</v>
      </c>
      <c r="AG282" s="301">
        <v>0.1056</v>
      </c>
      <c r="AH282" s="301">
        <v>3.5073</v>
      </c>
      <c r="AI282" s="301">
        <v>0.2821</v>
      </c>
      <c r="AJ282" s="301">
        <v>0.4998</v>
      </c>
      <c r="AK282" s="301">
        <v>4.9241</v>
      </c>
      <c r="AL282" s="302">
        <v>27</v>
      </c>
      <c r="AM282" t="s">
        <v>413</v>
      </c>
    </row>
    <row r="283" spans="1:39" ht="12.75">
      <c r="A283" s="441">
        <v>40948</v>
      </c>
      <c r="B283" s="301">
        <v>0.1025</v>
      </c>
      <c r="C283" s="301">
        <v>3.1487</v>
      </c>
      <c r="D283" s="301">
        <v>3.4018</v>
      </c>
      <c r="E283" s="301">
        <v>0.4059</v>
      </c>
      <c r="F283" s="301">
        <v>3.1631</v>
      </c>
      <c r="G283" s="301">
        <v>2.6327</v>
      </c>
      <c r="H283" s="301">
        <v>2.5272</v>
      </c>
      <c r="I283" s="301">
        <v>4.1769</v>
      </c>
      <c r="J283" s="301">
        <v>1.4354</v>
      </c>
      <c r="K283" s="301">
        <v>3.4507</v>
      </c>
      <c r="L283" s="301">
        <v>4.9879</v>
      </c>
      <c r="M283" s="301">
        <v>0.3924</v>
      </c>
      <c r="N283" s="301">
        <v>4.0792</v>
      </c>
      <c r="O283" s="301">
        <v>0.1683</v>
      </c>
      <c r="P283" s="301">
        <v>0.562</v>
      </c>
      <c r="R283" s="301">
        <v>2.5775</v>
      </c>
      <c r="S283" s="301">
        <v>0.5477</v>
      </c>
      <c r="U283" s="301">
        <v>0.4734</v>
      </c>
      <c r="V283" s="301">
        <v>0.5508</v>
      </c>
      <c r="W283" s="301">
        <v>0.9592</v>
      </c>
      <c r="X283" s="301">
        <v>2.1357</v>
      </c>
      <c r="Y283" s="301">
        <v>1.7974</v>
      </c>
      <c r="Z283" s="301">
        <v>1.2097</v>
      </c>
      <c r="AA283" s="301">
        <v>5.9768</v>
      </c>
      <c r="AB283" s="301">
        <v>0.0746</v>
      </c>
      <c r="AC283" s="301">
        <v>0.2477</v>
      </c>
      <c r="AD283" s="301">
        <v>0.4138</v>
      </c>
      <c r="AE283" s="301">
        <v>1.8281</v>
      </c>
      <c r="AF283" s="301">
        <v>1.0467</v>
      </c>
      <c r="AG283" s="301">
        <v>0.1057</v>
      </c>
      <c r="AH283" s="301">
        <v>3.5284</v>
      </c>
      <c r="AI283" s="301">
        <v>0.2822</v>
      </c>
      <c r="AJ283" s="301">
        <v>0.5001</v>
      </c>
      <c r="AK283" s="301">
        <v>4.8942</v>
      </c>
      <c r="AL283" s="302">
        <v>28</v>
      </c>
      <c r="AM283" t="s">
        <v>413</v>
      </c>
    </row>
    <row r="284" spans="1:39" ht="12.75">
      <c r="A284" s="441">
        <v>40949</v>
      </c>
      <c r="B284" s="301">
        <v>0.103</v>
      </c>
      <c r="C284" s="301">
        <v>3.1703</v>
      </c>
      <c r="D284" s="301">
        <v>3.3908</v>
      </c>
      <c r="E284" s="301">
        <v>0.4087</v>
      </c>
      <c r="F284" s="301">
        <v>3.1766</v>
      </c>
      <c r="G284" s="301">
        <v>2.6295</v>
      </c>
      <c r="H284" s="301">
        <v>2.5228</v>
      </c>
      <c r="I284" s="301">
        <v>4.2048</v>
      </c>
      <c r="J284" s="301">
        <v>1.4378</v>
      </c>
      <c r="K284" s="301">
        <v>3.4752</v>
      </c>
      <c r="L284" s="301">
        <v>5.0216</v>
      </c>
      <c r="M284" s="301">
        <v>0.3949</v>
      </c>
      <c r="N284" s="301">
        <v>4.0807</v>
      </c>
      <c r="O284" s="301">
        <v>0.1673</v>
      </c>
      <c r="P284" s="301">
        <v>0.5657</v>
      </c>
      <c r="R284" s="301">
        <v>2.5963</v>
      </c>
      <c r="S284" s="301">
        <v>0.5513</v>
      </c>
      <c r="U284" s="301">
        <v>0.477</v>
      </c>
      <c r="V284" s="301">
        <v>0.5542</v>
      </c>
      <c r="W284" s="301">
        <v>0.9663</v>
      </c>
      <c r="X284" s="301">
        <v>2.15</v>
      </c>
      <c r="Y284" s="301">
        <v>1.8023</v>
      </c>
      <c r="Z284" s="301">
        <v>1.2178</v>
      </c>
      <c r="AA284" s="301">
        <v>6.0155</v>
      </c>
      <c r="AB284" s="301">
        <v>0.0746</v>
      </c>
      <c r="AC284" s="301">
        <v>0.2492</v>
      </c>
      <c r="AD284" s="301">
        <v>0.4132</v>
      </c>
      <c r="AE284" s="301">
        <v>1.8468</v>
      </c>
      <c r="AF284" s="301">
        <v>1.0469</v>
      </c>
      <c r="AG284" s="301">
        <v>0.106</v>
      </c>
      <c r="AH284" s="301">
        <v>3.5077</v>
      </c>
      <c r="AI284" s="301">
        <v>0.2821</v>
      </c>
      <c r="AJ284" s="301">
        <v>0.5033</v>
      </c>
      <c r="AK284" s="301">
        <v>4.9148</v>
      </c>
      <c r="AL284" s="302">
        <v>29</v>
      </c>
      <c r="AM284" t="s">
        <v>413</v>
      </c>
    </row>
    <row r="285" spans="1:39" ht="12.75">
      <c r="A285" s="441">
        <v>40952</v>
      </c>
      <c r="B285" s="301">
        <v>0.1028</v>
      </c>
      <c r="C285" s="301">
        <v>3.1643</v>
      </c>
      <c r="D285" s="301">
        <v>3.4039</v>
      </c>
      <c r="E285" s="301">
        <v>0.408</v>
      </c>
      <c r="F285" s="301">
        <v>3.1685</v>
      </c>
      <c r="G285" s="301">
        <v>2.646</v>
      </c>
      <c r="H285" s="301">
        <v>2.5241</v>
      </c>
      <c r="I285" s="301">
        <v>4.1948</v>
      </c>
      <c r="J285" s="301">
        <v>1.4412</v>
      </c>
      <c r="K285" s="301">
        <v>3.4692</v>
      </c>
      <c r="L285" s="301">
        <v>4.9968</v>
      </c>
      <c r="M285" s="301">
        <v>0.3939</v>
      </c>
      <c r="N285" s="301">
        <v>4.072</v>
      </c>
      <c r="O285" s="301">
        <v>0.1673</v>
      </c>
      <c r="P285" s="301">
        <v>0.5644</v>
      </c>
      <c r="R285" s="301">
        <v>2.5896</v>
      </c>
      <c r="S285" s="301">
        <v>0.5531</v>
      </c>
      <c r="U285" s="301">
        <v>0.4763</v>
      </c>
      <c r="V285" s="301">
        <v>0.5529</v>
      </c>
      <c r="W285" s="301">
        <v>0.965</v>
      </c>
      <c r="X285" s="301">
        <v>2.1449</v>
      </c>
      <c r="Y285" s="301">
        <v>1.8033</v>
      </c>
      <c r="Z285" s="301">
        <v>1.2149</v>
      </c>
      <c r="AA285" s="301">
        <v>6.0063</v>
      </c>
      <c r="AB285" s="301">
        <v>0.0746</v>
      </c>
      <c r="AC285" s="301">
        <v>0.2492</v>
      </c>
      <c r="AD285" s="301">
        <v>0.4128</v>
      </c>
      <c r="AE285" s="301">
        <v>1.8387</v>
      </c>
      <c r="AF285" s="301">
        <v>1.0463</v>
      </c>
      <c r="AG285" s="301">
        <v>0.106</v>
      </c>
      <c r="AH285" s="301">
        <v>3.5162</v>
      </c>
      <c r="AI285" s="301">
        <v>0.2824</v>
      </c>
      <c r="AJ285" s="301">
        <v>0.5024</v>
      </c>
      <c r="AK285" s="301">
        <v>4.9343</v>
      </c>
      <c r="AL285" s="302">
        <v>30</v>
      </c>
      <c r="AM285" t="s">
        <v>413</v>
      </c>
    </row>
    <row r="286" spans="1:39" ht="12.75">
      <c r="A286" s="441">
        <v>40953</v>
      </c>
      <c r="B286" s="301">
        <v>0.1031</v>
      </c>
      <c r="C286" s="301">
        <v>3.1801</v>
      </c>
      <c r="D286" s="301">
        <v>3.4015</v>
      </c>
      <c r="E286" s="301">
        <v>0.41</v>
      </c>
      <c r="F286" s="301">
        <v>3.1803</v>
      </c>
      <c r="G286" s="301">
        <v>2.6443</v>
      </c>
      <c r="H286" s="301">
        <v>2.5127</v>
      </c>
      <c r="I286" s="301">
        <v>4.1935</v>
      </c>
      <c r="J286" s="301">
        <v>1.4388</v>
      </c>
      <c r="K286" s="301">
        <v>3.4701</v>
      </c>
      <c r="L286" s="301">
        <v>5.0054</v>
      </c>
      <c r="M286" s="301">
        <v>0.3964</v>
      </c>
      <c r="N286" s="301">
        <v>4.0708</v>
      </c>
      <c r="O286" s="301">
        <v>0.167</v>
      </c>
      <c r="P286" s="301">
        <v>0.5641</v>
      </c>
      <c r="R286" s="301">
        <v>2.5911</v>
      </c>
      <c r="S286" s="301">
        <v>0.5555</v>
      </c>
      <c r="U286" s="301">
        <v>0.4772</v>
      </c>
      <c r="V286" s="301">
        <v>0.5528</v>
      </c>
      <c r="W286" s="301">
        <v>0.9645</v>
      </c>
      <c r="X286" s="301">
        <v>2.1442</v>
      </c>
      <c r="Y286" s="301">
        <v>1.7983</v>
      </c>
      <c r="Z286" s="301">
        <v>1.2145</v>
      </c>
      <c r="AA286" s="301">
        <v>6.001</v>
      </c>
      <c r="AB286" s="301">
        <v>0.0744</v>
      </c>
      <c r="AC286" s="301">
        <v>0.2497</v>
      </c>
      <c r="AD286" s="301">
        <v>0.4111</v>
      </c>
      <c r="AE286" s="301">
        <v>1.853</v>
      </c>
      <c r="AF286" s="301">
        <v>1.0442</v>
      </c>
      <c r="AG286" s="301">
        <v>0.1059</v>
      </c>
      <c r="AH286" s="301">
        <v>3.5019</v>
      </c>
      <c r="AI286" s="301">
        <v>0.2825</v>
      </c>
      <c r="AJ286" s="301">
        <v>0.5048</v>
      </c>
      <c r="AK286" s="301">
        <v>4.9097</v>
      </c>
      <c r="AL286" s="302">
        <v>31</v>
      </c>
      <c r="AM286" t="s">
        <v>413</v>
      </c>
    </row>
    <row r="287" spans="1:39" ht="12.75">
      <c r="A287" s="441">
        <v>40954</v>
      </c>
      <c r="B287" s="301">
        <v>0.1029</v>
      </c>
      <c r="C287" s="301">
        <v>3.166</v>
      </c>
      <c r="D287" s="301">
        <v>3.4091</v>
      </c>
      <c r="E287" s="301">
        <v>0.4083</v>
      </c>
      <c r="F287" s="301">
        <v>3.1823</v>
      </c>
      <c r="G287" s="301">
        <v>2.6643</v>
      </c>
      <c r="H287" s="301">
        <v>2.515</v>
      </c>
      <c r="I287" s="301">
        <v>4.1695</v>
      </c>
      <c r="J287" s="301">
        <v>1.4377</v>
      </c>
      <c r="K287" s="301">
        <v>3.4523</v>
      </c>
      <c r="L287" s="301">
        <v>4.9669</v>
      </c>
      <c r="M287" s="301">
        <v>0.3942</v>
      </c>
      <c r="N287" s="301">
        <v>4.0326</v>
      </c>
      <c r="O287" s="301">
        <v>0.166</v>
      </c>
      <c r="P287" s="301">
        <v>0.5609</v>
      </c>
      <c r="R287" s="301">
        <v>2.5757</v>
      </c>
      <c r="S287" s="301">
        <v>0.5539</v>
      </c>
      <c r="U287" s="301">
        <v>0.4754</v>
      </c>
      <c r="V287" s="301">
        <v>0.5498</v>
      </c>
      <c r="W287" s="301">
        <v>0.9595</v>
      </c>
      <c r="X287" s="301">
        <v>2.1319</v>
      </c>
      <c r="Y287" s="301">
        <v>1.8002</v>
      </c>
      <c r="Z287" s="301">
        <v>1.2076</v>
      </c>
      <c r="AA287" s="301">
        <v>5.9696</v>
      </c>
      <c r="AB287" s="301">
        <v>0.0742</v>
      </c>
      <c r="AC287" s="301">
        <v>0.2492</v>
      </c>
      <c r="AD287" s="301">
        <v>0.412</v>
      </c>
      <c r="AE287" s="301">
        <v>1.8362</v>
      </c>
      <c r="AF287" s="301">
        <v>1.0431</v>
      </c>
      <c r="AG287" s="301">
        <v>0.1058</v>
      </c>
      <c r="AH287" s="301">
        <v>3.4994</v>
      </c>
      <c r="AI287" s="301">
        <v>0.2825</v>
      </c>
      <c r="AJ287" s="301">
        <v>0.5026</v>
      </c>
      <c r="AK287" s="301">
        <v>4.901</v>
      </c>
      <c r="AL287" s="302">
        <v>32</v>
      </c>
      <c r="AM287" t="s">
        <v>413</v>
      </c>
    </row>
    <row r="288" spans="1:39" ht="12.75">
      <c r="A288" s="441">
        <v>40955</v>
      </c>
      <c r="B288" s="301">
        <v>0.1054</v>
      </c>
      <c r="C288" s="301">
        <v>3.2502</v>
      </c>
      <c r="D288" s="301">
        <v>3.4667</v>
      </c>
      <c r="E288" s="301">
        <v>0.4191</v>
      </c>
      <c r="F288" s="301">
        <v>3.2378</v>
      </c>
      <c r="G288" s="301">
        <v>2.6847</v>
      </c>
      <c r="H288" s="301">
        <v>2.5611</v>
      </c>
      <c r="I288" s="301">
        <v>4.2276</v>
      </c>
      <c r="J288" s="301">
        <v>1.4392</v>
      </c>
      <c r="K288" s="301">
        <v>3.5027</v>
      </c>
      <c r="L288" s="301">
        <v>5.0953</v>
      </c>
      <c r="M288" s="301">
        <v>0.4049</v>
      </c>
      <c r="N288" s="301">
        <v>4.1255</v>
      </c>
      <c r="O288" s="301">
        <v>0.1674</v>
      </c>
      <c r="P288" s="301">
        <v>0.5688</v>
      </c>
      <c r="R288" s="301">
        <v>2.618</v>
      </c>
      <c r="S288" s="301">
        <v>0.5598</v>
      </c>
      <c r="U288" s="301">
        <v>0.4804</v>
      </c>
      <c r="V288" s="301">
        <v>0.5575</v>
      </c>
      <c r="W288" s="301">
        <v>0.9719</v>
      </c>
      <c r="X288" s="301">
        <v>2.1616</v>
      </c>
      <c r="Y288" s="301">
        <v>1.8304</v>
      </c>
      <c r="Z288" s="301">
        <v>1.2244</v>
      </c>
      <c r="AA288" s="301">
        <v>6.055</v>
      </c>
      <c r="AB288" s="301">
        <v>0.0759</v>
      </c>
      <c r="AC288" s="301">
        <v>0.251</v>
      </c>
      <c r="AD288" s="301">
        <v>0.4142</v>
      </c>
      <c r="AE288" s="301">
        <v>1.8798</v>
      </c>
      <c r="AF288" s="301">
        <v>1.0627</v>
      </c>
      <c r="AG288" s="301">
        <v>0.1073</v>
      </c>
      <c r="AH288" s="301">
        <v>3.5766</v>
      </c>
      <c r="AI288" s="301">
        <v>0.2871</v>
      </c>
      <c r="AJ288" s="301">
        <v>0.5158</v>
      </c>
      <c r="AK288" s="301">
        <v>4.9867</v>
      </c>
      <c r="AL288" s="302">
        <v>33</v>
      </c>
      <c r="AM288" t="s">
        <v>413</v>
      </c>
    </row>
    <row r="289" spans="1:39" ht="12.75">
      <c r="A289" s="441">
        <v>40956</v>
      </c>
      <c r="B289" s="301">
        <v>0.1033</v>
      </c>
      <c r="C289" s="301">
        <v>3.179</v>
      </c>
      <c r="D289" s="301">
        <v>3.427</v>
      </c>
      <c r="E289" s="301">
        <v>0.41</v>
      </c>
      <c r="F289" s="301">
        <v>3.1944</v>
      </c>
      <c r="G289" s="301">
        <v>2.6615</v>
      </c>
      <c r="H289" s="301">
        <v>2.5263</v>
      </c>
      <c r="I289" s="301">
        <v>4.184</v>
      </c>
      <c r="J289" s="301">
        <v>1.4423</v>
      </c>
      <c r="K289" s="301">
        <v>3.4654</v>
      </c>
      <c r="L289" s="301">
        <v>5.0416</v>
      </c>
      <c r="M289" s="301">
        <v>0.3962</v>
      </c>
      <c r="N289" s="301">
        <v>4.0244</v>
      </c>
      <c r="O289" s="301">
        <v>0.1673</v>
      </c>
      <c r="P289" s="301">
        <v>0.5629</v>
      </c>
      <c r="R289" s="301">
        <v>2.5779</v>
      </c>
      <c r="S289" s="301">
        <v>0.5575</v>
      </c>
      <c r="U289" s="301">
        <v>0.4739</v>
      </c>
      <c r="V289" s="301">
        <v>0.5521</v>
      </c>
      <c r="W289" s="301">
        <v>0.9614</v>
      </c>
      <c r="X289" s="301">
        <v>2.1393</v>
      </c>
      <c r="Y289" s="301">
        <v>1.8086</v>
      </c>
      <c r="Z289" s="301">
        <v>1.2118</v>
      </c>
      <c r="AA289" s="301">
        <v>5.9891</v>
      </c>
      <c r="AB289" s="301">
        <v>0.0746</v>
      </c>
      <c r="AC289" s="301">
        <v>0.249</v>
      </c>
      <c r="AD289" s="301">
        <v>0.4105</v>
      </c>
      <c r="AE289" s="301">
        <v>1.8519</v>
      </c>
      <c r="AF289" s="301">
        <v>1.0449</v>
      </c>
      <c r="AG289" s="301">
        <v>0.1062</v>
      </c>
      <c r="AH289" s="301">
        <v>3.5268</v>
      </c>
      <c r="AI289" s="301">
        <v>0.2829</v>
      </c>
      <c r="AJ289" s="301">
        <v>0.5049</v>
      </c>
      <c r="AK289" s="301">
        <v>4.9554</v>
      </c>
      <c r="AL289" s="302">
        <v>34</v>
      </c>
      <c r="AM289" t="s">
        <v>413</v>
      </c>
    </row>
    <row r="290" spans="1:39" ht="12.75">
      <c r="A290" s="441">
        <v>40959</v>
      </c>
      <c r="B290" s="301">
        <v>0.1027</v>
      </c>
      <c r="C290" s="301">
        <v>3.1598</v>
      </c>
      <c r="D290" s="301">
        <v>3.4008</v>
      </c>
      <c r="E290" s="301">
        <v>0.4075</v>
      </c>
      <c r="F290" s="301">
        <v>3.182</v>
      </c>
      <c r="G290" s="301">
        <v>2.654</v>
      </c>
      <c r="H290" s="301">
        <v>2.5212</v>
      </c>
      <c r="I290" s="301">
        <v>4.1775</v>
      </c>
      <c r="J290" s="301">
        <v>1.4496</v>
      </c>
      <c r="K290" s="301">
        <v>3.4565</v>
      </c>
      <c r="L290" s="301">
        <v>5.0114</v>
      </c>
      <c r="M290" s="301">
        <v>0.394</v>
      </c>
      <c r="N290" s="301">
        <v>3.9727</v>
      </c>
      <c r="O290" s="301">
        <v>0.1676</v>
      </c>
      <c r="P290" s="301">
        <v>0.562</v>
      </c>
      <c r="R290" s="301">
        <v>2.57</v>
      </c>
      <c r="S290" s="301">
        <v>0.5571</v>
      </c>
      <c r="U290" s="301">
        <v>0.4736</v>
      </c>
      <c r="V290" s="301">
        <v>0.5508</v>
      </c>
      <c r="W290" s="301">
        <v>0.9596</v>
      </c>
      <c r="X290" s="301">
        <v>2.136</v>
      </c>
      <c r="Y290" s="301">
        <v>1.8124</v>
      </c>
      <c r="Z290" s="301">
        <v>1.2099</v>
      </c>
      <c r="AA290" s="301">
        <v>5.9807</v>
      </c>
      <c r="AB290" s="301">
        <v>0.0742</v>
      </c>
      <c r="AC290" s="301">
        <v>0.2492</v>
      </c>
      <c r="AD290" s="301">
        <v>0.4116</v>
      </c>
      <c r="AE290" s="301">
        <v>1.8395</v>
      </c>
      <c r="AF290" s="301">
        <v>1.0461</v>
      </c>
      <c r="AG290" s="301">
        <v>0.106</v>
      </c>
      <c r="AH290" s="301">
        <v>3.5164</v>
      </c>
      <c r="AI290" s="301">
        <v>0.2813</v>
      </c>
      <c r="AJ290" s="301">
        <v>0.5015</v>
      </c>
      <c r="AK290" s="301">
        <v>4.903</v>
      </c>
      <c r="AL290" s="302">
        <v>35</v>
      </c>
      <c r="AM290" t="s">
        <v>413</v>
      </c>
    </row>
    <row r="291" spans="1:39" ht="12.75">
      <c r="A291" s="441">
        <v>40960</v>
      </c>
      <c r="B291" s="301">
        <v>0.1026</v>
      </c>
      <c r="C291" s="301">
        <v>3.1488</v>
      </c>
      <c r="D291" s="301">
        <v>3.3619</v>
      </c>
      <c r="E291" s="301">
        <v>0.4061</v>
      </c>
      <c r="F291" s="301">
        <v>3.1638</v>
      </c>
      <c r="G291" s="301">
        <v>2.6312</v>
      </c>
      <c r="H291" s="301">
        <v>2.5069</v>
      </c>
      <c r="I291" s="301">
        <v>4.1735</v>
      </c>
      <c r="J291" s="301">
        <v>1.4558</v>
      </c>
      <c r="K291" s="301">
        <v>3.4547</v>
      </c>
      <c r="L291" s="301">
        <v>4.9913</v>
      </c>
      <c r="M291" s="301">
        <v>0.3925</v>
      </c>
      <c r="N291" s="301">
        <v>3.9449</v>
      </c>
      <c r="O291" s="301">
        <v>0.1677</v>
      </c>
      <c r="P291" s="301">
        <v>0.5613</v>
      </c>
      <c r="R291" s="301">
        <v>2.5518</v>
      </c>
      <c r="S291" s="301">
        <v>0.5551</v>
      </c>
      <c r="U291" s="301">
        <v>0.4739</v>
      </c>
      <c r="V291" s="301">
        <v>0.5505</v>
      </c>
      <c r="W291" s="301">
        <v>0.9589</v>
      </c>
      <c r="X291" s="301">
        <v>2.1339</v>
      </c>
      <c r="Y291" s="301">
        <v>1.8047</v>
      </c>
      <c r="Z291" s="301">
        <v>1.2087</v>
      </c>
      <c r="AA291" s="301">
        <v>5.9831</v>
      </c>
      <c r="AB291" s="301">
        <v>0.0738</v>
      </c>
      <c r="AC291" s="301">
        <v>0.2481</v>
      </c>
      <c r="AD291" s="301">
        <v>0.4086</v>
      </c>
      <c r="AE291" s="301">
        <v>1.833</v>
      </c>
      <c r="AF291" s="301">
        <v>1.043</v>
      </c>
      <c r="AG291" s="301">
        <v>0.1057</v>
      </c>
      <c r="AH291" s="301">
        <v>3.513</v>
      </c>
      <c r="AI291" s="301">
        <v>0.2801</v>
      </c>
      <c r="AJ291" s="301">
        <v>0.5001</v>
      </c>
      <c r="AK291" s="301">
        <v>4.8983</v>
      </c>
      <c r="AL291" s="302">
        <v>36</v>
      </c>
      <c r="AM291" t="s">
        <v>413</v>
      </c>
    </row>
    <row r="292" spans="1:39" ht="12.75">
      <c r="A292" s="441">
        <v>40961</v>
      </c>
      <c r="B292" s="301">
        <v>0.1036</v>
      </c>
      <c r="C292" s="301">
        <v>3.1635</v>
      </c>
      <c r="D292" s="301">
        <v>3.3697</v>
      </c>
      <c r="E292" s="301">
        <v>0.408</v>
      </c>
      <c r="F292" s="301">
        <v>3.17</v>
      </c>
      <c r="G292" s="301">
        <v>2.6334</v>
      </c>
      <c r="H292" s="301">
        <v>2.5122</v>
      </c>
      <c r="I292" s="301">
        <v>4.1857</v>
      </c>
      <c r="J292" s="301">
        <v>1.4577</v>
      </c>
      <c r="K292" s="301">
        <v>3.4663</v>
      </c>
      <c r="L292" s="301">
        <v>4.9682</v>
      </c>
      <c r="M292" s="301">
        <v>0.3949</v>
      </c>
      <c r="N292" s="301">
        <v>3.9456</v>
      </c>
      <c r="O292" s="301">
        <v>0.1676</v>
      </c>
      <c r="P292" s="301">
        <v>0.5629</v>
      </c>
      <c r="R292" s="301">
        <v>2.5525</v>
      </c>
      <c r="S292" s="301">
        <v>0.5581</v>
      </c>
      <c r="U292" s="301">
        <v>0.4756</v>
      </c>
      <c r="V292" s="301">
        <v>0.5519</v>
      </c>
      <c r="W292" s="301">
        <v>0.9613</v>
      </c>
      <c r="X292" s="301">
        <v>2.1401</v>
      </c>
      <c r="Y292" s="301">
        <v>1.8097</v>
      </c>
      <c r="Z292" s="301">
        <v>1.2122</v>
      </c>
      <c r="AA292" s="301">
        <v>5.9997</v>
      </c>
      <c r="AB292" s="301">
        <v>0.0742</v>
      </c>
      <c r="AC292" s="301">
        <v>0.2467</v>
      </c>
      <c r="AD292" s="301">
        <v>0.4095</v>
      </c>
      <c r="AE292" s="301">
        <v>1.8423</v>
      </c>
      <c r="AF292" s="301">
        <v>1.0456</v>
      </c>
      <c r="AG292" s="301">
        <v>0.1062</v>
      </c>
      <c r="AH292" s="301">
        <v>3.4888</v>
      </c>
      <c r="AI292" s="301">
        <v>0.2807</v>
      </c>
      <c r="AJ292" s="301">
        <v>0.5025</v>
      </c>
      <c r="AK292" s="301">
        <v>4.894</v>
      </c>
      <c r="AL292" s="302">
        <v>37</v>
      </c>
      <c r="AM292" t="s">
        <v>413</v>
      </c>
    </row>
    <row r="293" spans="1:39" ht="12.75">
      <c r="A293" s="441">
        <v>40962</v>
      </c>
      <c r="B293" s="301">
        <v>0.1033</v>
      </c>
      <c r="C293" s="301">
        <v>3.138</v>
      </c>
      <c r="D293" s="301">
        <v>3.3581</v>
      </c>
      <c r="E293" s="301">
        <v>0.4046</v>
      </c>
      <c r="F293" s="301">
        <v>3.1472</v>
      </c>
      <c r="G293" s="301">
        <v>2.6153</v>
      </c>
      <c r="H293" s="301">
        <v>2.5005</v>
      </c>
      <c r="I293" s="301">
        <v>4.181</v>
      </c>
      <c r="J293" s="301">
        <v>1.4514</v>
      </c>
      <c r="K293" s="301">
        <v>3.4676</v>
      </c>
      <c r="L293" s="301">
        <v>4.9325</v>
      </c>
      <c r="M293" s="301">
        <v>0.392</v>
      </c>
      <c r="N293" s="301">
        <v>3.9196</v>
      </c>
      <c r="O293" s="301">
        <v>0.1668</v>
      </c>
      <c r="P293" s="301">
        <v>0.5622</v>
      </c>
      <c r="R293" s="301">
        <v>2.5291</v>
      </c>
      <c r="S293" s="301">
        <v>0.5601</v>
      </c>
      <c r="U293" s="301">
        <v>0.4743</v>
      </c>
      <c r="V293" s="301">
        <v>0.5507</v>
      </c>
      <c r="W293" s="301">
        <v>0.9594</v>
      </c>
      <c r="X293" s="301">
        <v>2.1377</v>
      </c>
      <c r="Y293" s="301">
        <v>1.7894</v>
      </c>
      <c r="Z293" s="301">
        <v>1.2109</v>
      </c>
      <c r="AA293" s="301">
        <v>5.99</v>
      </c>
      <c r="AB293" s="301">
        <v>0.0733</v>
      </c>
      <c r="AC293" s="301">
        <v>0.246</v>
      </c>
      <c r="AD293" s="301">
        <v>0.4084</v>
      </c>
      <c r="AE293" s="301">
        <v>1.8397</v>
      </c>
      <c r="AF293" s="301">
        <v>1.0407</v>
      </c>
      <c r="AG293" s="301">
        <v>0.1057</v>
      </c>
      <c r="AH293" s="301">
        <v>3.4917</v>
      </c>
      <c r="AI293" s="301">
        <v>0.2786</v>
      </c>
      <c r="AJ293" s="301">
        <v>0.4981</v>
      </c>
      <c r="AK293" s="301">
        <v>4.8801</v>
      </c>
      <c r="AL293" s="302">
        <v>38</v>
      </c>
      <c r="AM293" t="s">
        <v>413</v>
      </c>
    </row>
    <row r="294" spans="1:39" ht="12.75">
      <c r="A294" s="441">
        <v>40963</v>
      </c>
      <c r="B294" s="301">
        <v>0.1026</v>
      </c>
      <c r="C294" s="301">
        <v>3.1103</v>
      </c>
      <c r="D294" s="301">
        <v>3.3383</v>
      </c>
      <c r="E294" s="301">
        <v>0.4011</v>
      </c>
      <c r="F294" s="301">
        <v>3.118</v>
      </c>
      <c r="G294" s="301">
        <v>2.6077</v>
      </c>
      <c r="H294" s="301">
        <v>2.4779</v>
      </c>
      <c r="I294" s="301">
        <v>4.1654</v>
      </c>
      <c r="J294" s="301">
        <v>1.4423</v>
      </c>
      <c r="K294" s="301">
        <v>3.4543</v>
      </c>
      <c r="L294" s="301">
        <v>4.9167</v>
      </c>
      <c r="M294" s="301">
        <v>0.3885</v>
      </c>
      <c r="N294" s="301">
        <v>3.861</v>
      </c>
      <c r="O294" s="301">
        <v>0.1666</v>
      </c>
      <c r="P294" s="301">
        <v>0.5602</v>
      </c>
      <c r="R294" s="301">
        <v>2.5139</v>
      </c>
      <c r="S294" s="301">
        <v>0.556</v>
      </c>
      <c r="U294" s="301">
        <v>0.4715</v>
      </c>
      <c r="V294" s="301">
        <v>0.5493</v>
      </c>
      <c r="W294" s="301">
        <v>0.9566</v>
      </c>
      <c r="X294" s="301">
        <v>2.1298</v>
      </c>
      <c r="Y294" s="301">
        <v>1.7658</v>
      </c>
      <c r="Z294" s="301">
        <v>1.2064</v>
      </c>
      <c r="AA294" s="301">
        <v>5.9599</v>
      </c>
      <c r="AB294" s="301">
        <v>0.0726</v>
      </c>
      <c r="AC294" s="301">
        <v>0.2434</v>
      </c>
      <c r="AD294" s="301">
        <v>0.4089</v>
      </c>
      <c r="AE294" s="301">
        <v>1.8136</v>
      </c>
      <c r="AF294" s="301">
        <v>1.0325</v>
      </c>
      <c r="AG294" s="301">
        <v>0.106</v>
      </c>
      <c r="AH294" s="301">
        <v>3.4604</v>
      </c>
      <c r="AI294" s="301">
        <v>0.2764</v>
      </c>
      <c r="AJ294" s="301">
        <v>0.4939</v>
      </c>
      <c r="AK294" s="301">
        <v>4.8471</v>
      </c>
      <c r="AL294" s="302">
        <v>39</v>
      </c>
      <c r="AM294" t="s">
        <v>413</v>
      </c>
    </row>
    <row r="295" spans="1:39" ht="12.75">
      <c r="A295" s="441">
        <v>40966</v>
      </c>
      <c r="B295" s="301">
        <v>0.1023</v>
      </c>
      <c r="C295" s="301">
        <v>3.1176</v>
      </c>
      <c r="D295" s="301">
        <v>3.3249</v>
      </c>
      <c r="E295" s="301">
        <v>0.4019</v>
      </c>
      <c r="F295" s="301">
        <v>3.1049</v>
      </c>
      <c r="G295" s="301">
        <v>2.598</v>
      </c>
      <c r="H295" s="301">
        <v>2.4731</v>
      </c>
      <c r="I295" s="301">
        <v>4.1845</v>
      </c>
      <c r="J295" s="301">
        <v>1.432</v>
      </c>
      <c r="K295" s="301">
        <v>3.473</v>
      </c>
      <c r="L295" s="301">
        <v>4.9415</v>
      </c>
      <c r="M295" s="301">
        <v>0.3896</v>
      </c>
      <c r="N295" s="301">
        <v>3.8661</v>
      </c>
      <c r="O295" s="301">
        <v>0.1668</v>
      </c>
      <c r="P295" s="301">
        <v>0.5627</v>
      </c>
      <c r="R295" s="301">
        <v>2.5029</v>
      </c>
      <c r="S295" s="301">
        <v>0.5574</v>
      </c>
      <c r="U295" s="301">
        <v>0.4737</v>
      </c>
      <c r="V295" s="301">
        <v>0.5518</v>
      </c>
      <c r="W295" s="301">
        <v>0.9616</v>
      </c>
      <c r="X295" s="301">
        <v>2.1395</v>
      </c>
      <c r="Y295" s="301">
        <v>1.7589</v>
      </c>
      <c r="Z295" s="301">
        <v>1.2119</v>
      </c>
      <c r="AA295" s="301">
        <v>5.9873</v>
      </c>
      <c r="AB295" s="301">
        <v>0.0725</v>
      </c>
      <c r="AC295" s="301">
        <v>0.2405</v>
      </c>
      <c r="AD295" s="301">
        <v>0.4081</v>
      </c>
      <c r="AE295" s="301">
        <v>1.8232</v>
      </c>
      <c r="AF295" s="301">
        <v>1.0306</v>
      </c>
      <c r="AG295" s="301">
        <v>0.1069</v>
      </c>
      <c r="AH295" s="301">
        <v>3.4762</v>
      </c>
      <c r="AI295" s="301">
        <v>0.2757</v>
      </c>
      <c r="AJ295" s="301">
        <v>0.4946</v>
      </c>
      <c r="AK295" s="301">
        <v>4.8454</v>
      </c>
      <c r="AL295" s="302">
        <v>40</v>
      </c>
      <c r="AM295" t="s">
        <v>413</v>
      </c>
    </row>
    <row r="296" spans="1:39" ht="12.75">
      <c r="A296" s="441">
        <v>40967</v>
      </c>
      <c r="B296" s="301">
        <v>0.102</v>
      </c>
      <c r="C296" s="301">
        <v>3.0977</v>
      </c>
      <c r="D296" s="301">
        <v>3.3348</v>
      </c>
      <c r="E296" s="301">
        <v>0.3995</v>
      </c>
      <c r="F296" s="301">
        <v>3.1102</v>
      </c>
      <c r="G296" s="301">
        <v>2.5991</v>
      </c>
      <c r="H296" s="301">
        <v>2.4736</v>
      </c>
      <c r="I296" s="301">
        <v>4.163</v>
      </c>
      <c r="J296" s="301">
        <v>1.4336</v>
      </c>
      <c r="K296" s="301">
        <v>3.4535</v>
      </c>
      <c r="L296" s="301">
        <v>4.913</v>
      </c>
      <c r="M296" s="301">
        <v>0.3873</v>
      </c>
      <c r="N296" s="301">
        <v>3.8367</v>
      </c>
      <c r="O296" s="301">
        <v>0.1663</v>
      </c>
      <c r="P296" s="301">
        <v>0.5598</v>
      </c>
      <c r="R296" s="301">
        <v>2.485</v>
      </c>
      <c r="S296" s="301">
        <v>0.5554</v>
      </c>
      <c r="U296" s="301">
        <v>0.4716</v>
      </c>
      <c r="V296" s="301">
        <v>0.5492</v>
      </c>
      <c r="W296" s="301">
        <v>0.9578</v>
      </c>
      <c r="X296" s="301">
        <v>2.1285</v>
      </c>
      <c r="Y296" s="301">
        <v>1.7608</v>
      </c>
      <c r="Z296" s="301">
        <v>1.2057</v>
      </c>
      <c r="AA296" s="301">
        <v>5.9582</v>
      </c>
      <c r="AB296" s="301">
        <v>0.0723</v>
      </c>
      <c r="AC296" s="301">
        <v>0.2416</v>
      </c>
      <c r="AD296" s="301">
        <v>0.4121</v>
      </c>
      <c r="AE296" s="301">
        <v>1.8141</v>
      </c>
      <c r="AF296" s="301">
        <v>1.029</v>
      </c>
      <c r="AG296" s="301">
        <v>0.1069</v>
      </c>
      <c r="AH296" s="301">
        <v>3.3935</v>
      </c>
      <c r="AI296" s="301">
        <v>0.2753</v>
      </c>
      <c r="AJ296" s="301">
        <v>0.4918</v>
      </c>
      <c r="AK296" s="301">
        <v>4.8286</v>
      </c>
      <c r="AL296" s="302">
        <v>41</v>
      </c>
      <c r="AM296" t="s">
        <v>413</v>
      </c>
    </row>
    <row r="297" spans="1:39" ht="12.75">
      <c r="A297" s="441">
        <v>40968</v>
      </c>
      <c r="B297" s="301">
        <v>0.1015</v>
      </c>
      <c r="C297" s="301">
        <v>3.073</v>
      </c>
      <c r="D297" s="301">
        <v>3.3236</v>
      </c>
      <c r="E297" s="301">
        <v>0.3962</v>
      </c>
      <c r="F297" s="301">
        <v>3.0966</v>
      </c>
      <c r="G297" s="301">
        <v>2.5903</v>
      </c>
      <c r="H297" s="301">
        <v>2.4657</v>
      </c>
      <c r="I297" s="301">
        <v>4.1365</v>
      </c>
      <c r="J297" s="301">
        <v>1.4274</v>
      </c>
      <c r="K297" s="301">
        <v>3.4318</v>
      </c>
      <c r="L297" s="301">
        <v>4.8973</v>
      </c>
      <c r="M297" s="301">
        <v>0.3839</v>
      </c>
      <c r="N297" s="301">
        <v>3.8133</v>
      </c>
      <c r="O297" s="301">
        <v>0.1661</v>
      </c>
      <c r="P297" s="301">
        <v>0.5563</v>
      </c>
      <c r="R297" s="301">
        <v>2.4692</v>
      </c>
      <c r="S297" s="301">
        <v>0.5544</v>
      </c>
      <c r="U297" s="301">
        <v>0.4687</v>
      </c>
      <c r="V297" s="301">
        <v>0.5462</v>
      </c>
      <c r="W297" s="301">
        <v>0.9516</v>
      </c>
      <c r="X297" s="301">
        <v>2.115</v>
      </c>
      <c r="Y297" s="301">
        <v>1.7577</v>
      </c>
      <c r="Z297" s="301">
        <v>1.198</v>
      </c>
      <c r="AA297" s="301">
        <v>5.9203</v>
      </c>
      <c r="AB297" s="301">
        <v>0.0719</v>
      </c>
      <c r="AC297" s="301">
        <v>0.2395</v>
      </c>
      <c r="AD297" s="301">
        <v>0.4116</v>
      </c>
      <c r="AE297" s="301">
        <v>1.8122</v>
      </c>
      <c r="AF297" s="301">
        <v>1.0259</v>
      </c>
      <c r="AG297" s="301">
        <v>0.1057</v>
      </c>
      <c r="AH297" s="301">
        <v>3.4115</v>
      </c>
      <c r="AI297" s="301">
        <v>0.2753</v>
      </c>
      <c r="AJ297" s="301">
        <v>0.4882</v>
      </c>
      <c r="AK297" s="301">
        <v>4.7802</v>
      </c>
      <c r="AL297" s="302">
        <v>42</v>
      </c>
      <c r="AM297" t="s">
        <v>413</v>
      </c>
    </row>
    <row r="298" spans="1:39" ht="12.75">
      <c r="A298" s="441">
        <v>40969</v>
      </c>
      <c r="B298" s="301">
        <v>0.1013</v>
      </c>
      <c r="C298" s="301">
        <v>3.0887</v>
      </c>
      <c r="D298" s="301">
        <v>3.3236</v>
      </c>
      <c r="E298" s="301">
        <v>0.3982</v>
      </c>
      <c r="F298" s="301">
        <v>3.1262</v>
      </c>
      <c r="G298" s="301">
        <v>2.5816</v>
      </c>
      <c r="H298" s="301">
        <v>2.4724</v>
      </c>
      <c r="I298" s="301">
        <v>4.1198</v>
      </c>
      <c r="J298" s="301">
        <v>1.431</v>
      </c>
      <c r="K298" s="301">
        <v>3.4178</v>
      </c>
      <c r="L298" s="301">
        <v>4.9186</v>
      </c>
      <c r="M298" s="301">
        <v>0.385</v>
      </c>
      <c r="N298" s="301">
        <v>3.8074</v>
      </c>
      <c r="O298" s="301">
        <v>0.1656</v>
      </c>
      <c r="P298" s="301">
        <v>0.5541</v>
      </c>
      <c r="R298" s="301">
        <v>2.4662</v>
      </c>
      <c r="S298" s="301">
        <v>0.5539</v>
      </c>
      <c r="U298" s="301">
        <v>0.467</v>
      </c>
      <c r="V298" s="301">
        <v>0.5442</v>
      </c>
      <c r="W298" s="301">
        <v>0.9473</v>
      </c>
      <c r="X298" s="301">
        <v>2.1065</v>
      </c>
      <c r="Y298" s="301">
        <v>1.7638</v>
      </c>
      <c r="Z298" s="301">
        <v>1.1932</v>
      </c>
      <c r="AA298" s="301">
        <v>5.8989</v>
      </c>
      <c r="AB298" s="301">
        <v>0.0721</v>
      </c>
      <c r="AC298" s="301">
        <v>0.2408</v>
      </c>
      <c r="AD298" s="301">
        <v>0.4139</v>
      </c>
      <c r="AE298" s="301">
        <v>1.7965</v>
      </c>
      <c r="AF298" s="301">
        <v>1.029</v>
      </c>
      <c r="AG298" s="301">
        <v>0.1056</v>
      </c>
      <c r="AH298" s="301">
        <v>3.4038</v>
      </c>
      <c r="AI298" s="301">
        <v>0.2761</v>
      </c>
      <c r="AJ298" s="301">
        <v>0.4902</v>
      </c>
      <c r="AK298" s="301">
        <v>4.7687</v>
      </c>
      <c r="AL298" s="302">
        <v>43</v>
      </c>
      <c r="AM298" t="s">
        <v>413</v>
      </c>
    </row>
    <row r="299" spans="1:39" ht="12.75">
      <c r="A299" s="441">
        <v>40970</v>
      </c>
      <c r="B299" s="301">
        <v>0.1015</v>
      </c>
      <c r="C299" s="301">
        <v>3.1023</v>
      </c>
      <c r="D299" s="301">
        <v>3.3419</v>
      </c>
      <c r="E299" s="301">
        <v>0.3997</v>
      </c>
      <c r="F299" s="301">
        <v>3.1408</v>
      </c>
      <c r="G299" s="301">
        <v>2.5872</v>
      </c>
      <c r="H299" s="301">
        <v>2.4822</v>
      </c>
      <c r="I299" s="301">
        <v>4.1125</v>
      </c>
      <c r="J299" s="301">
        <v>1.4295</v>
      </c>
      <c r="K299" s="301">
        <v>3.4119</v>
      </c>
      <c r="L299" s="301">
        <v>4.9423</v>
      </c>
      <c r="M299" s="301">
        <v>0.3863</v>
      </c>
      <c r="N299" s="301">
        <v>3.8049</v>
      </c>
      <c r="O299" s="301">
        <v>0.1662</v>
      </c>
      <c r="P299" s="301">
        <v>0.5531</v>
      </c>
      <c r="R299" s="301">
        <v>2.4675</v>
      </c>
      <c r="S299" s="301">
        <v>0.5542</v>
      </c>
      <c r="U299" s="301">
        <v>0.466</v>
      </c>
      <c r="V299" s="301">
        <v>0.5433</v>
      </c>
      <c r="W299" s="301">
        <v>0.9454</v>
      </c>
      <c r="X299" s="301">
        <v>2.1027</v>
      </c>
      <c r="Y299" s="301">
        <v>1.7616</v>
      </c>
      <c r="Z299" s="301">
        <v>1.191</v>
      </c>
      <c r="AA299" s="301">
        <v>5.8885</v>
      </c>
      <c r="AB299" s="301">
        <v>0.0727</v>
      </c>
      <c r="AC299" s="301">
        <v>0.2431</v>
      </c>
      <c r="AD299" s="301">
        <v>0.4141</v>
      </c>
      <c r="AE299" s="301">
        <v>1.8106</v>
      </c>
      <c r="AF299" s="301">
        <v>1.033</v>
      </c>
      <c r="AG299" s="301">
        <v>0.1058</v>
      </c>
      <c r="AH299" s="301">
        <v>3.3988</v>
      </c>
      <c r="AI299" s="301">
        <v>0.2782</v>
      </c>
      <c r="AJ299" s="301">
        <v>0.4927</v>
      </c>
      <c r="AK299" s="301">
        <v>4.7889</v>
      </c>
      <c r="AL299" s="302">
        <v>44</v>
      </c>
      <c r="AM299" t="s">
        <v>413</v>
      </c>
    </row>
    <row r="300" spans="1:39" ht="12.75">
      <c r="A300" s="441">
        <v>40973</v>
      </c>
      <c r="B300" s="301">
        <v>0.1023</v>
      </c>
      <c r="C300" s="301">
        <v>3.1355</v>
      </c>
      <c r="D300" s="301">
        <v>3.3506</v>
      </c>
      <c r="E300" s="301">
        <v>0.4039</v>
      </c>
      <c r="F300" s="301">
        <v>3.1542</v>
      </c>
      <c r="G300" s="301">
        <v>2.5827</v>
      </c>
      <c r="H300" s="301">
        <v>2.4928</v>
      </c>
      <c r="I300" s="301">
        <v>4.1345</v>
      </c>
      <c r="J300" s="301">
        <v>1.4179</v>
      </c>
      <c r="K300" s="301">
        <v>3.429</v>
      </c>
      <c r="L300" s="301">
        <v>4.9559</v>
      </c>
      <c r="M300" s="301">
        <v>0.3908</v>
      </c>
      <c r="N300" s="301">
        <v>3.8595</v>
      </c>
      <c r="O300" s="301">
        <v>0.1666</v>
      </c>
      <c r="P300" s="301">
        <v>0.5561</v>
      </c>
      <c r="R300" s="301">
        <v>2.4805</v>
      </c>
      <c r="S300" s="301">
        <v>0.5568</v>
      </c>
      <c r="U300" s="301">
        <v>0.4681</v>
      </c>
      <c r="V300" s="301">
        <v>0.5467</v>
      </c>
      <c r="W300" s="301">
        <v>0.9499</v>
      </c>
      <c r="X300" s="301">
        <v>2.114</v>
      </c>
      <c r="Y300" s="301">
        <v>1.7674</v>
      </c>
      <c r="Z300" s="301">
        <v>1.1974</v>
      </c>
      <c r="AA300" s="301">
        <v>5.9234</v>
      </c>
      <c r="AB300" s="301">
        <v>0.0733</v>
      </c>
      <c r="AC300" s="301">
        <v>0.2442</v>
      </c>
      <c r="AD300" s="301">
        <v>0.4136</v>
      </c>
      <c r="AE300" s="301">
        <v>1.8113</v>
      </c>
      <c r="AF300" s="301">
        <v>1.0381</v>
      </c>
      <c r="AG300" s="301">
        <v>0.1068</v>
      </c>
      <c r="AH300" s="301">
        <v>3.4803</v>
      </c>
      <c r="AI300" s="301">
        <v>0.2804</v>
      </c>
      <c r="AJ300" s="301">
        <v>0.4972</v>
      </c>
      <c r="AK300" s="301">
        <v>4.8323</v>
      </c>
      <c r="AL300" s="302">
        <v>45</v>
      </c>
      <c r="AM300" t="s">
        <v>413</v>
      </c>
    </row>
    <row r="301" spans="1:39" ht="12.75">
      <c r="A301" s="441">
        <v>40974</v>
      </c>
      <c r="B301" s="301">
        <v>0.1026</v>
      </c>
      <c r="C301" s="301">
        <v>3.1557</v>
      </c>
      <c r="D301" s="301">
        <v>3.3447</v>
      </c>
      <c r="E301" s="301">
        <v>0.4062</v>
      </c>
      <c r="F301" s="301">
        <v>3.1574</v>
      </c>
      <c r="G301" s="301">
        <v>2.5696</v>
      </c>
      <c r="H301" s="301">
        <v>2.4979</v>
      </c>
      <c r="I301" s="301">
        <v>4.157</v>
      </c>
      <c r="J301" s="301">
        <v>1.4134</v>
      </c>
      <c r="K301" s="301">
        <v>3.4472</v>
      </c>
      <c r="L301" s="301">
        <v>4.9787</v>
      </c>
      <c r="M301" s="301">
        <v>0.3924</v>
      </c>
      <c r="N301" s="301">
        <v>3.896</v>
      </c>
      <c r="O301" s="301">
        <v>0.167</v>
      </c>
      <c r="P301" s="301">
        <v>0.5592</v>
      </c>
      <c r="R301" s="301">
        <v>2.4944</v>
      </c>
      <c r="S301" s="301">
        <v>0.5582</v>
      </c>
      <c r="U301" s="301">
        <v>0.4682</v>
      </c>
      <c r="V301" s="301">
        <v>0.55</v>
      </c>
      <c r="W301" s="301">
        <v>0.9548</v>
      </c>
      <c r="X301" s="301">
        <v>2.1255</v>
      </c>
      <c r="Y301" s="301">
        <v>1.7647</v>
      </c>
      <c r="Z301" s="301">
        <v>1.2039</v>
      </c>
      <c r="AA301" s="301">
        <v>5.9556</v>
      </c>
      <c r="AB301" s="301">
        <v>0.0734</v>
      </c>
      <c r="AC301" s="301">
        <v>0.2441</v>
      </c>
      <c r="AD301" s="301">
        <v>0.4137</v>
      </c>
      <c r="AE301" s="301">
        <v>1.8126</v>
      </c>
      <c r="AF301" s="301">
        <v>1.0423</v>
      </c>
      <c r="AG301" s="301">
        <v>0.1067</v>
      </c>
      <c r="AH301" s="301">
        <v>3.503</v>
      </c>
      <c r="AI301" s="301">
        <v>0.2805</v>
      </c>
      <c r="AJ301" s="301">
        <v>0.4998</v>
      </c>
      <c r="AK301" s="301">
        <v>4.8497</v>
      </c>
      <c r="AL301" s="302">
        <v>46</v>
      </c>
      <c r="AM301" t="s">
        <v>413</v>
      </c>
    </row>
    <row r="302" spans="1:39" ht="12.75">
      <c r="A302" s="441">
        <v>40975</v>
      </c>
      <c r="B302" s="301">
        <v>0.1029</v>
      </c>
      <c r="C302" s="301">
        <v>3.1631</v>
      </c>
      <c r="D302" s="301">
        <v>3.3432</v>
      </c>
      <c r="E302" s="301">
        <v>0.4075</v>
      </c>
      <c r="F302" s="301">
        <v>3.1628</v>
      </c>
      <c r="G302" s="301">
        <v>2.5875</v>
      </c>
      <c r="H302" s="301">
        <v>2.5098</v>
      </c>
      <c r="I302" s="301">
        <v>4.1578</v>
      </c>
      <c r="J302" s="301">
        <v>1.4128</v>
      </c>
      <c r="K302" s="301">
        <v>3.4492</v>
      </c>
      <c r="L302" s="301">
        <v>4.9788</v>
      </c>
      <c r="M302" s="301">
        <v>0.3938</v>
      </c>
      <c r="N302" s="301">
        <v>3.9164</v>
      </c>
      <c r="O302" s="301">
        <v>0.1672</v>
      </c>
      <c r="P302" s="301">
        <v>0.5592</v>
      </c>
      <c r="R302" s="301">
        <v>2.5246</v>
      </c>
      <c r="S302" s="301">
        <v>0.5572</v>
      </c>
      <c r="U302" s="301">
        <v>0.4664</v>
      </c>
      <c r="V302" s="301">
        <v>0.5501</v>
      </c>
      <c r="W302" s="301">
        <v>0.9542</v>
      </c>
      <c r="X302" s="301">
        <v>2.1259</v>
      </c>
      <c r="Y302" s="301">
        <v>1.7708</v>
      </c>
      <c r="Z302" s="301">
        <v>1.2042</v>
      </c>
      <c r="AA302" s="301">
        <v>5.9584</v>
      </c>
      <c r="AB302" s="301">
        <v>0.0738</v>
      </c>
      <c r="AC302" s="301">
        <v>0.2441</v>
      </c>
      <c r="AD302" s="301">
        <v>0.4142</v>
      </c>
      <c r="AE302" s="301">
        <v>1.7986</v>
      </c>
      <c r="AF302" s="301">
        <v>1.0454</v>
      </c>
      <c r="AG302" s="301">
        <v>0.1065</v>
      </c>
      <c r="AH302" s="301">
        <v>3.511</v>
      </c>
      <c r="AI302" s="301">
        <v>0.2812</v>
      </c>
      <c r="AJ302" s="301">
        <v>0.5013</v>
      </c>
      <c r="AK302" s="301">
        <v>4.8678</v>
      </c>
      <c r="AL302" s="302">
        <v>47</v>
      </c>
      <c r="AM302" t="s">
        <v>413</v>
      </c>
    </row>
    <row r="303" spans="1:39" ht="12.75">
      <c r="A303" s="441">
        <v>40976</v>
      </c>
      <c r="B303" s="301">
        <v>0.1023</v>
      </c>
      <c r="C303" s="301">
        <v>3.122</v>
      </c>
      <c r="D303" s="301">
        <v>3.3223</v>
      </c>
      <c r="E303" s="301">
        <v>0.4024</v>
      </c>
      <c r="F303" s="301">
        <v>3.137</v>
      </c>
      <c r="G303" s="301">
        <v>2.5742</v>
      </c>
      <c r="H303" s="301">
        <v>2.4909</v>
      </c>
      <c r="I303" s="301">
        <v>4.1255</v>
      </c>
      <c r="J303" s="301">
        <v>1.4073</v>
      </c>
      <c r="K303" s="301">
        <v>3.4224</v>
      </c>
      <c r="L303" s="301">
        <v>4.9395</v>
      </c>
      <c r="M303" s="301">
        <v>0.3909</v>
      </c>
      <c r="N303" s="301">
        <v>3.8346</v>
      </c>
      <c r="O303" s="301">
        <v>0.1666</v>
      </c>
      <c r="P303" s="301">
        <v>0.5549</v>
      </c>
      <c r="R303" s="301">
        <v>2.4965</v>
      </c>
      <c r="S303" s="301">
        <v>0.5552</v>
      </c>
      <c r="U303" s="301">
        <v>0.4624</v>
      </c>
      <c r="V303" s="301">
        <v>0.546</v>
      </c>
      <c r="W303" s="301">
        <v>0.9472</v>
      </c>
      <c r="X303" s="301">
        <v>2.1094</v>
      </c>
      <c r="Y303" s="301">
        <v>1.7585</v>
      </c>
      <c r="Z303" s="301">
        <v>1.1948</v>
      </c>
      <c r="AA303" s="301">
        <v>5.9164</v>
      </c>
      <c r="AB303" s="301">
        <v>0.0733</v>
      </c>
      <c r="AC303" s="301">
        <v>0.2439</v>
      </c>
      <c r="AD303" s="301">
        <v>0.4136</v>
      </c>
      <c r="AE303" s="301">
        <v>1.7665</v>
      </c>
      <c r="AF303" s="301">
        <v>1.0373</v>
      </c>
      <c r="AG303" s="301">
        <v>0.1054</v>
      </c>
      <c r="AH303" s="301">
        <v>3.4652</v>
      </c>
      <c r="AI303" s="301">
        <v>0.2798</v>
      </c>
      <c r="AJ303" s="301">
        <v>0.4943</v>
      </c>
      <c r="AK303" s="301">
        <v>4.8428</v>
      </c>
      <c r="AL303" s="302">
        <v>48</v>
      </c>
      <c r="AM303" t="s">
        <v>413</v>
      </c>
    </row>
    <row r="304" spans="1:39" ht="12.75">
      <c r="A304" s="441">
        <v>40977</v>
      </c>
      <c r="B304" s="301">
        <v>0.1018</v>
      </c>
      <c r="C304" s="301">
        <v>3.1126</v>
      </c>
      <c r="D304" s="301">
        <v>3.3068</v>
      </c>
      <c r="E304" s="301">
        <v>0.4012</v>
      </c>
      <c r="F304" s="301">
        <v>3.139</v>
      </c>
      <c r="G304" s="301">
        <v>2.5649</v>
      </c>
      <c r="H304" s="301">
        <v>2.4824</v>
      </c>
      <c r="I304" s="301">
        <v>4.1143</v>
      </c>
      <c r="J304" s="301">
        <v>1.3998</v>
      </c>
      <c r="K304" s="301">
        <v>3.4125</v>
      </c>
      <c r="L304" s="301">
        <v>4.9053</v>
      </c>
      <c r="M304" s="301">
        <v>0.3898</v>
      </c>
      <c r="N304" s="301">
        <v>3.8083</v>
      </c>
      <c r="O304" s="301">
        <v>0.1661</v>
      </c>
      <c r="P304" s="301">
        <v>0.5534</v>
      </c>
      <c r="R304" s="301">
        <v>2.483</v>
      </c>
      <c r="S304" s="301">
        <v>0.5535</v>
      </c>
      <c r="U304" s="301">
        <v>0.463</v>
      </c>
      <c r="V304" s="301">
        <v>0.545</v>
      </c>
      <c r="W304" s="301">
        <v>0.9442</v>
      </c>
      <c r="X304" s="301">
        <v>2.1037</v>
      </c>
      <c r="Y304" s="301">
        <v>1.7462</v>
      </c>
      <c r="Z304" s="301">
        <v>1.1916</v>
      </c>
      <c r="AA304" s="301">
        <v>5.9029</v>
      </c>
      <c r="AB304" s="301">
        <v>0.0731</v>
      </c>
      <c r="AC304" s="301">
        <v>0.2447</v>
      </c>
      <c r="AD304" s="301">
        <v>0.4128</v>
      </c>
      <c r="AE304" s="301">
        <v>1.7681</v>
      </c>
      <c r="AF304" s="301">
        <v>1.0342</v>
      </c>
      <c r="AG304" s="301">
        <v>0.1058</v>
      </c>
      <c r="AH304" s="301">
        <v>3.4556</v>
      </c>
      <c r="AI304" s="301">
        <v>0.2785</v>
      </c>
      <c r="AJ304" s="301">
        <v>0.4932</v>
      </c>
      <c r="AK304" s="301">
        <v>4.7966</v>
      </c>
      <c r="AL304" s="302">
        <v>49</v>
      </c>
      <c r="AM304" t="s">
        <v>413</v>
      </c>
    </row>
    <row r="305" spans="1:39" ht="12.75">
      <c r="A305" s="441">
        <v>40980</v>
      </c>
      <c r="B305" s="301">
        <v>0.1021</v>
      </c>
      <c r="C305" s="301">
        <v>3.1285</v>
      </c>
      <c r="D305" s="301">
        <v>3.295</v>
      </c>
      <c r="E305" s="301">
        <v>0.4033</v>
      </c>
      <c r="F305" s="301">
        <v>3.1597</v>
      </c>
      <c r="G305" s="301">
        <v>2.5589</v>
      </c>
      <c r="H305" s="301">
        <v>2.4823</v>
      </c>
      <c r="I305" s="301">
        <v>4.1062</v>
      </c>
      <c r="J305" s="301">
        <v>1.4037</v>
      </c>
      <c r="K305" s="301">
        <v>3.4055</v>
      </c>
      <c r="L305" s="301">
        <v>4.9047</v>
      </c>
      <c r="M305" s="301">
        <v>0.3895</v>
      </c>
      <c r="N305" s="301">
        <v>3.805</v>
      </c>
      <c r="O305" s="301">
        <v>0.1669</v>
      </c>
      <c r="P305" s="301">
        <v>0.5523</v>
      </c>
      <c r="R305" s="301">
        <v>2.4766</v>
      </c>
      <c r="S305" s="301">
        <v>0.5492</v>
      </c>
      <c r="U305" s="301">
        <v>0.4606</v>
      </c>
      <c r="V305" s="301">
        <v>0.544</v>
      </c>
      <c r="W305" s="301">
        <v>0.9426</v>
      </c>
      <c r="X305" s="301">
        <v>2.0995</v>
      </c>
      <c r="Y305" s="301">
        <v>1.743</v>
      </c>
      <c r="Z305" s="301">
        <v>1.1892</v>
      </c>
      <c r="AA305" s="301">
        <v>5.8938</v>
      </c>
      <c r="AB305" s="301">
        <v>0.0733</v>
      </c>
      <c r="AC305" s="301">
        <v>0.2473</v>
      </c>
      <c r="AD305" s="301">
        <v>0.4132</v>
      </c>
      <c r="AE305" s="301">
        <v>1.7465</v>
      </c>
      <c r="AF305" s="301">
        <v>1.0334</v>
      </c>
      <c r="AG305" s="301">
        <v>0.1058</v>
      </c>
      <c r="AH305" s="301">
        <v>3.4725</v>
      </c>
      <c r="AI305" s="301">
        <v>0.2784</v>
      </c>
      <c r="AJ305" s="301">
        <v>0.4945</v>
      </c>
      <c r="AK305" s="301">
        <v>4.8006</v>
      </c>
      <c r="AL305" s="302">
        <v>50</v>
      </c>
      <c r="AM305" t="s">
        <v>413</v>
      </c>
    </row>
    <row r="306" spans="1:39" ht="12.75">
      <c r="A306" s="441">
        <v>40981</v>
      </c>
      <c r="B306" s="301">
        <v>0.1022</v>
      </c>
      <c r="C306" s="301">
        <v>3.1288</v>
      </c>
      <c r="D306" s="301">
        <v>3.2976</v>
      </c>
      <c r="E306" s="301">
        <v>0.4032</v>
      </c>
      <c r="F306" s="301">
        <v>3.1604</v>
      </c>
      <c r="G306" s="301">
        <v>2.5728</v>
      </c>
      <c r="H306" s="301">
        <v>2.4866</v>
      </c>
      <c r="I306" s="301">
        <v>4.1132</v>
      </c>
      <c r="J306" s="301">
        <v>1.4002</v>
      </c>
      <c r="K306" s="301">
        <v>3.4103</v>
      </c>
      <c r="L306" s="301">
        <v>4.9028</v>
      </c>
      <c r="M306" s="301">
        <v>0.3901</v>
      </c>
      <c r="N306" s="301">
        <v>3.791</v>
      </c>
      <c r="O306" s="301">
        <v>0.1675</v>
      </c>
      <c r="P306" s="301">
        <v>0.5532</v>
      </c>
      <c r="R306" s="301">
        <v>2.4713</v>
      </c>
      <c r="S306" s="301">
        <v>0.5518</v>
      </c>
      <c r="U306" s="301">
        <v>0.4615</v>
      </c>
      <c r="V306" s="301">
        <v>0.5459</v>
      </c>
      <c r="W306" s="301">
        <v>0.9438</v>
      </c>
      <c r="X306" s="301">
        <v>2.1031</v>
      </c>
      <c r="Y306" s="301">
        <v>1.7503</v>
      </c>
      <c r="Z306" s="301">
        <v>1.1912</v>
      </c>
      <c r="AA306" s="301">
        <v>5.9038</v>
      </c>
      <c r="AB306" s="301">
        <v>0.0734</v>
      </c>
      <c r="AC306" s="301">
        <v>0.2477</v>
      </c>
      <c r="AD306" s="301">
        <v>0.4157</v>
      </c>
      <c r="AE306" s="301">
        <v>1.74</v>
      </c>
      <c r="AF306" s="301">
        <v>1.0313</v>
      </c>
      <c r="AG306" s="301">
        <v>0.1059</v>
      </c>
      <c r="AH306" s="301">
        <v>3.473</v>
      </c>
      <c r="AI306" s="301">
        <v>0.2786</v>
      </c>
      <c r="AJ306" s="301">
        <v>0.4946</v>
      </c>
      <c r="AK306" s="301">
        <v>4.8148</v>
      </c>
      <c r="AL306" s="302">
        <v>51</v>
      </c>
      <c r="AM306" t="s">
        <v>413</v>
      </c>
    </row>
    <row r="307" spans="1:39" ht="12.75">
      <c r="A307" s="441">
        <v>40982</v>
      </c>
      <c r="B307" s="301">
        <v>0.1031</v>
      </c>
      <c r="C307" s="301">
        <v>3.1699</v>
      </c>
      <c r="D307" s="301">
        <v>3.323</v>
      </c>
      <c r="E307" s="301">
        <v>0.4084</v>
      </c>
      <c r="F307" s="301">
        <v>3.1929</v>
      </c>
      <c r="G307" s="301">
        <v>2.5815</v>
      </c>
      <c r="H307" s="301">
        <v>2.506</v>
      </c>
      <c r="I307" s="301">
        <v>4.1395</v>
      </c>
      <c r="J307" s="301">
        <v>1.4196</v>
      </c>
      <c r="K307" s="301">
        <v>3.4195</v>
      </c>
      <c r="L307" s="301">
        <v>4.9781</v>
      </c>
      <c r="M307" s="301">
        <v>0.3953</v>
      </c>
      <c r="N307" s="301">
        <v>3.8008</v>
      </c>
      <c r="O307" s="301">
        <v>0.1682</v>
      </c>
      <c r="P307" s="301">
        <v>0.5568</v>
      </c>
      <c r="R307" s="301">
        <v>2.4884</v>
      </c>
      <c r="S307" s="301">
        <v>0.5536</v>
      </c>
      <c r="U307" s="301">
        <v>0.4666</v>
      </c>
      <c r="V307" s="301">
        <v>0.5496</v>
      </c>
      <c r="W307" s="301">
        <v>0.9489</v>
      </c>
      <c r="X307" s="301">
        <v>2.1165</v>
      </c>
      <c r="Y307" s="301">
        <v>1.7691</v>
      </c>
      <c r="Z307" s="301">
        <v>1.1989</v>
      </c>
      <c r="AA307" s="301">
        <v>5.9433</v>
      </c>
      <c r="AB307" s="301">
        <v>0.0739</v>
      </c>
      <c r="AC307" s="301">
        <v>0.2514</v>
      </c>
      <c r="AD307" s="301">
        <v>0.4192</v>
      </c>
      <c r="AE307" s="301">
        <v>1.7685</v>
      </c>
      <c r="AF307" s="301">
        <v>1.0389</v>
      </c>
      <c r="AG307" s="301">
        <v>0.1075</v>
      </c>
      <c r="AH307" s="301">
        <v>3.5192</v>
      </c>
      <c r="AI307" s="301">
        <v>0.2809</v>
      </c>
      <c r="AJ307" s="301">
        <v>0.5006</v>
      </c>
      <c r="AK307" s="301">
        <v>4.8649</v>
      </c>
      <c r="AL307" s="302">
        <v>52</v>
      </c>
      <c r="AM307" t="s">
        <v>413</v>
      </c>
    </row>
    <row r="308" spans="1:39" ht="12.75">
      <c r="A308" s="441">
        <v>40983</v>
      </c>
      <c r="B308" s="301">
        <v>0.1032</v>
      </c>
      <c r="C308" s="301">
        <v>3.1723</v>
      </c>
      <c r="D308" s="301">
        <v>3.3256</v>
      </c>
      <c r="E308" s="301">
        <v>0.4088</v>
      </c>
      <c r="F308" s="301">
        <v>3.1962</v>
      </c>
      <c r="G308" s="301">
        <v>2.5793</v>
      </c>
      <c r="H308" s="301">
        <v>2.5065</v>
      </c>
      <c r="I308" s="301">
        <v>4.142</v>
      </c>
      <c r="J308" s="301">
        <v>1.4213</v>
      </c>
      <c r="K308" s="301">
        <v>3.421</v>
      </c>
      <c r="L308" s="301">
        <v>4.9697</v>
      </c>
      <c r="M308" s="301">
        <v>0.3955</v>
      </c>
      <c r="N308" s="301">
        <v>3.7884</v>
      </c>
      <c r="O308" s="301">
        <v>0.1681</v>
      </c>
      <c r="P308" s="301">
        <v>0.5571</v>
      </c>
      <c r="R308" s="301">
        <v>2.4874</v>
      </c>
      <c r="S308" s="301">
        <v>0.5469</v>
      </c>
      <c r="U308" s="301">
        <v>0.4645</v>
      </c>
      <c r="V308" s="301">
        <v>0.5512</v>
      </c>
      <c r="W308" s="301">
        <v>0.9483</v>
      </c>
      <c r="X308" s="301">
        <v>2.1178</v>
      </c>
      <c r="Y308" s="301">
        <v>1.7595</v>
      </c>
      <c r="Z308" s="301">
        <v>1.1996</v>
      </c>
      <c r="AA308" s="301">
        <v>5.9443</v>
      </c>
      <c r="AB308" s="301">
        <v>0.0737</v>
      </c>
      <c r="AC308" s="301">
        <v>0.2505</v>
      </c>
      <c r="AD308" s="301">
        <v>0.4144</v>
      </c>
      <c r="AE308" s="301">
        <v>1.7574</v>
      </c>
      <c r="AF308" s="301">
        <v>1.0379</v>
      </c>
      <c r="AG308" s="301">
        <v>0.1076</v>
      </c>
      <c r="AH308" s="301">
        <v>3.5215</v>
      </c>
      <c r="AI308" s="301">
        <v>0.2816</v>
      </c>
      <c r="AJ308" s="301">
        <v>0.5013</v>
      </c>
      <c r="AK308" s="301">
        <v>4.8575</v>
      </c>
      <c r="AL308" s="302">
        <v>53</v>
      </c>
      <c r="AM308" t="s">
        <v>413</v>
      </c>
    </row>
    <row r="309" spans="1:39" ht="12.75">
      <c r="A309" s="441">
        <v>40984</v>
      </c>
      <c r="B309" s="301">
        <v>0.1031</v>
      </c>
      <c r="C309" s="301">
        <v>3.1688</v>
      </c>
      <c r="D309" s="301">
        <v>3.334</v>
      </c>
      <c r="E309" s="301">
        <v>0.4081</v>
      </c>
      <c r="F309" s="301">
        <v>3.1909</v>
      </c>
      <c r="G309" s="301">
        <v>2.5921</v>
      </c>
      <c r="H309" s="301">
        <v>2.5095</v>
      </c>
      <c r="I309" s="301">
        <v>4.1367</v>
      </c>
      <c r="J309" s="301">
        <v>1.4138</v>
      </c>
      <c r="K309" s="301">
        <v>3.426</v>
      </c>
      <c r="L309" s="301">
        <v>4.981</v>
      </c>
      <c r="M309" s="301">
        <v>0.3947</v>
      </c>
      <c r="N309" s="301">
        <v>3.7849</v>
      </c>
      <c r="O309" s="301">
        <v>0.1685</v>
      </c>
      <c r="P309" s="301">
        <v>0.5564</v>
      </c>
      <c r="R309" s="301">
        <v>2.4867</v>
      </c>
      <c r="S309" s="301">
        <v>0.5477</v>
      </c>
      <c r="U309" s="301">
        <v>0.4657</v>
      </c>
      <c r="V309" s="301">
        <v>0.5498</v>
      </c>
      <c r="W309" s="301">
        <v>0.9446</v>
      </c>
      <c r="X309" s="301">
        <v>2.1151</v>
      </c>
      <c r="Y309" s="301">
        <v>1.7592</v>
      </c>
      <c r="Z309" s="301">
        <v>1.1981</v>
      </c>
      <c r="AA309" s="301">
        <v>5.935</v>
      </c>
      <c r="AB309" s="301">
        <v>0.0735</v>
      </c>
      <c r="AC309" s="301">
        <v>0.2502</v>
      </c>
      <c r="AD309" s="301">
        <v>0.4144</v>
      </c>
      <c r="AE309" s="301">
        <v>1.7597</v>
      </c>
      <c r="AF309" s="301">
        <v>1.0363</v>
      </c>
      <c r="AG309" s="301">
        <v>0.1078</v>
      </c>
      <c r="AH309" s="301">
        <v>3.5178</v>
      </c>
      <c r="AI309" s="301">
        <v>0.2814</v>
      </c>
      <c r="AJ309" s="301">
        <v>0.5011</v>
      </c>
      <c r="AK309" s="301">
        <v>4.8516</v>
      </c>
      <c r="AL309" s="302">
        <v>54</v>
      </c>
      <c r="AM309" t="s">
        <v>413</v>
      </c>
    </row>
    <row r="310" spans="1:39" ht="12.75">
      <c r="A310" s="441">
        <v>40987</v>
      </c>
      <c r="B310" s="301">
        <v>0.1022</v>
      </c>
      <c r="C310" s="301">
        <v>3.1361</v>
      </c>
      <c r="D310" s="301">
        <v>3.3197</v>
      </c>
      <c r="E310" s="301">
        <v>0.4039</v>
      </c>
      <c r="F310" s="301">
        <v>3.1594</v>
      </c>
      <c r="G310" s="301">
        <v>2.5872</v>
      </c>
      <c r="H310" s="301">
        <v>2.4916</v>
      </c>
      <c r="I310" s="301">
        <v>4.127</v>
      </c>
      <c r="J310" s="301">
        <v>1.4221</v>
      </c>
      <c r="K310" s="301">
        <v>3.4205</v>
      </c>
      <c r="L310" s="301">
        <v>4.9657</v>
      </c>
      <c r="M310" s="301">
        <v>0.3911</v>
      </c>
      <c r="N310" s="301">
        <v>3.776</v>
      </c>
      <c r="O310" s="301">
        <v>0.1685</v>
      </c>
      <c r="P310" s="301">
        <v>0.555</v>
      </c>
      <c r="R310" s="301">
        <v>2.4776</v>
      </c>
      <c r="S310" s="301">
        <v>0.5458</v>
      </c>
      <c r="U310" s="301">
        <v>0.4643</v>
      </c>
      <c r="V310" s="301">
        <v>0.5479</v>
      </c>
      <c r="W310" s="301">
        <v>0.9425</v>
      </c>
      <c r="X310" s="301">
        <v>2.1101</v>
      </c>
      <c r="Y310" s="301">
        <v>1.7415</v>
      </c>
      <c r="Z310" s="301">
        <v>1.1952</v>
      </c>
      <c r="AA310" s="301">
        <v>5.9236</v>
      </c>
      <c r="AB310" s="301">
        <v>0.0731</v>
      </c>
      <c r="AC310" s="301">
        <v>0.2476</v>
      </c>
      <c r="AD310" s="301">
        <v>0.4147</v>
      </c>
      <c r="AE310" s="301">
        <v>1.7415</v>
      </c>
      <c r="AF310" s="301">
        <v>1.027</v>
      </c>
      <c r="AG310" s="301">
        <v>0.1072</v>
      </c>
      <c r="AH310" s="301">
        <v>3.4802</v>
      </c>
      <c r="AI310" s="301">
        <v>0.279</v>
      </c>
      <c r="AJ310" s="301">
        <v>0.4959</v>
      </c>
      <c r="AK310" s="301">
        <v>4.8205</v>
      </c>
      <c r="AL310" s="302">
        <v>55</v>
      </c>
      <c r="AM310" t="s">
        <v>413</v>
      </c>
    </row>
    <row r="311" spans="1:39" ht="12.75">
      <c r="A311" s="441">
        <v>40988</v>
      </c>
      <c r="B311" s="301">
        <v>0.1018</v>
      </c>
      <c r="C311" s="301">
        <v>3.1288</v>
      </c>
      <c r="D311" s="301">
        <v>3.2855</v>
      </c>
      <c r="E311" s="301">
        <v>0.4029</v>
      </c>
      <c r="F311" s="301">
        <v>3.156</v>
      </c>
      <c r="G311" s="301">
        <v>2.5591</v>
      </c>
      <c r="H311" s="301">
        <v>2.4759</v>
      </c>
      <c r="I311" s="301">
        <v>4.1282</v>
      </c>
      <c r="J311" s="301">
        <v>1.422</v>
      </c>
      <c r="K311" s="301">
        <v>3.4221</v>
      </c>
      <c r="L311" s="301">
        <v>4.9642</v>
      </c>
      <c r="M311" s="301">
        <v>0.3899</v>
      </c>
      <c r="N311" s="301">
        <v>3.7368</v>
      </c>
      <c r="O311" s="301">
        <v>0.1686</v>
      </c>
      <c r="P311" s="301">
        <v>0.5552</v>
      </c>
      <c r="R311" s="301">
        <v>2.479</v>
      </c>
      <c r="S311" s="301">
        <v>0.5438</v>
      </c>
      <c r="U311" s="301">
        <v>0.4634</v>
      </c>
      <c r="V311" s="301">
        <v>0.5486</v>
      </c>
      <c r="W311" s="301">
        <v>0.9429</v>
      </c>
      <c r="X311" s="301">
        <v>2.1107</v>
      </c>
      <c r="Y311" s="301">
        <v>1.7223</v>
      </c>
      <c r="Z311" s="301">
        <v>1.1956</v>
      </c>
      <c r="AA311" s="301">
        <v>5.9245</v>
      </c>
      <c r="AB311" s="301">
        <v>0.0727</v>
      </c>
      <c r="AC311" s="301">
        <v>0.2463</v>
      </c>
      <c r="AD311" s="301">
        <v>0.411</v>
      </c>
      <c r="AE311" s="301">
        <v>1.7181</v>
      </c>
      <c r="AF311" s="301">
        <v>1.0152</v>
      </c>
      <c r="AG311" s="301">
        <v>0.107</v>
      </c>
      <c r="AH311" s="301">
        <v>3.4734</v>
      </c>
      <c r="AI311" s="301">
        <v>0.2775</v>
      </c>
      <c r="AJ311" s="301">
        <v>0.4948</v>
      </c>
      <c r="AK311" s="301">
        <v>4.8289</v>
      </c>
      <c r="AL311" s="302">
        <v>56</v>
      </c>
      <c r="AM311" t="s">
        <v>413</v>
      </c>
    </row>
    <row r="312" spans="1:39" ht="12.75">
      <c r="A312" s="441">
        <v>40989</v>
      </c>
      <c r="B312" s="301">
        <v>0.1014</v>
      </c>
      <c r="C312" s="301">
        <v>3.1173</v>
      </c>
      <c r="D312" s="301">
        <v>3.271</v>
      </c>
      <c r="E312" s="301">
        <v>0.4016</v>
      </c>
      <c r="F312" s="301">
        <v>3.1524</v>
      </c>
      <c r="G312" s="301">
        <v>2.5537</v>
      </c>
      <c r="H312" s="301">
        <v>2.4713</v>
      </c>
      <c r="I312" s="301">
        <v>4.1364</v>
      </c>
      <c r="J312" s="301">
        <v>1.425</v>
      </c>
      <c r="K312" s="301">
        <v>3.4306</v>
      </c>
      <c r="L312" s="301">
        <v>4.9443</v>
      </c>
      <c r="M312" s="301">
        <v>0.3889</v>
      </c>
      <c r="N312" s="301">
        <v>3.7186</v>
      </c>
      <c r="O312" s="301">
        <v>0.1688</v>
      </c>
      <c r="P312" s="301">
        <v>0.5563</v>
      </c>
      <c r="R312" s="301">
        <v>2.4813</v>
      </c>
      <c r="S312" s="301">
        <v>0.5432</v>
      </c>
      <c r="U312" s="301">
        <v>0.4646</v>
      </c>
      <c r="V312" s="301">
        <v>0.5489</v>
      </c>
      <c r="W312" s="301">
        <v>0.945</v>
      </c>
      <c r="X312" s="301">
        <v>2.1149</v>
      </c>
      <c r="Y312" s="301">
        <v>1.7213</v>
      </c>
      <c r="Z312" s="301">
        <v>1.198</v>
      </c>
      <c r="AA312" s="301">
        <v>5.9371</v>
      </c>
      <c r="AB312" s="301">
        <v>0.0724</v>
      </c>
      <c r="AC312" s="301">
        <v>0.2466</v>
      </c>
      <c r="AD312" s="301">
        <v>0.4098</v>
      </c>
      <c r="AE312" s="301">
        <v>1.7172</v>
      </c>
      <c r="AF312" s="301">
        <v>1.0144</v>
      </c>
      <c r="AG312" s="301">
        <v>0.1068</v>
      </c>
      <c r="AH312" s="301">
        <v>3.4596</v>
      </c>
      <c r="AI312" s="301">
        <v>0.2767</v>
      </c>
      <c r="AJ312" s="301">
        <v>0.4932</v>
      </c>
      <c r="AK312" s="301">
        <v>4.8196</v>
      </c>
      <c r="AL312" s="302">
        <v>57</v>
      </c>
      <c r="AM312" t="s">
        <v>413</v>
      </c>
    </row>
    <row r="313" spans="1:39" ht="12.75">
      <c r="A313" s="441">
        <v>40990</v>
      </c>
      <c r="B313" s="301">
        <v>0.103</v>
      </c>
      <c r="C313" s="301">
        <v>3.168</v>
      </c>
      <c r="D313" s="301">
        <v>3.286</v>
      </c>
      <c r="E313" s="301">
        <v>0.4083</v>
      </c>
      <c r="F313" s="301">
        <v>3.1842</v>
      </c>
      <c r="G313" s="301">
        <v>2.5619</v>
      </c>
      <c r="H313" s="301">
        <v>2.5017</v>
      </c>
      <c r="I313" s="301">
        <v>4.1694</v>
      </c>
      <c r="J313" s="301">
        <v>1.4196</v>
      </c>
      <c r="K313" s="301">
        <v>3.4588</v>
      </c>
      <c r="L313" s="301">
        <v>5.0065</v>
      </c>
      <c r="M313" s="301">
        <v>0.3953</v>
      </c>
      <c r="N313" s="301">
        <v>3.8265</v>
      </c>
      <c r="O313" s="301">
        <v>0.1684</v>
      </c>
      <c r="P313" s="301">
        <v>0.5607</v>
      </c>
      <c r="R313" s="301">
        <v>2.5054</v>
      </c>
      <c r="S313" s="301">
        <v>0.547</v>
      </c>
      <c r="U313" s="301">
        <v>0.4678</v>
      </c>
      <c r="V313" s="301">
        <v>0.5537</v>
      </c>
      <c r="W313" s="301">
        <v>0.9538</v>
      </c>
      <c r="X313" s="301">
        <v>2.1318</v>
      </c>
      <c r="Y313" s="301">
        <v>1.7521</v>
      </c>
      <c r="Z313" s="301">
        <v>1.2075</v>
      </c>
      <c r="AA313" s="301">
        <v>5.9836</v>
      </c>
      <c r="AB313" s="301">
        <v>0.0736</v>
      </c>
      <c r="AC313" s="301">
        <v>0.2465</v>
      </c>
      <c r="AD313" s="301">
        <v>0.4098</v>
      </c>
      <c r="AE313" s="301">
        <v>1.7411</v>
      </c>
      <c r="AF313" s="301">
        <v>1.0281</v>
      </c>
      <c r="AG313" s="301">
        <v>0.1077</v>
      </c>
      <c r="AH313" s="301">
        <v>3.5173</v>
      </c>
      <c r="AI313" s="301">
        <v>0.2798</v>
      </c>
      <c r="AJ313" s="301">
        <v>0.503</v>
      </c>
      <c r="AK313" s="301">
        <v>4.8544</v>
      </c>
      <c r="AL313" s="302">
        <v>58</v>
      </c>
      <c r="AM313" t="s">
        <v>413</v>
      </c>
    </row>
    <row r="314" spans="1:39" ht="12.75">
      <c r="A314" s="441">
        <v>40991</v>
      </c>
      <c r="B314" s="301">
        <v>0.1021</v>
      </c>
      <c r="C314" s="301">
        <v>3.1417</v>
      </c>
      <c r="D314" s="301">
        <v>3.2716</v>
      </c>
      <c r="E314" s="301">
        <v>0.4045</v>
      </c>
      <c r="F314" s="301">
        <v>3.1419</v>
      </c>
      <c r="G314" s="301">
        <v>2.5576</v>
      </c>
      <c r="H314" s="301">
        <v>2.4879</v>
      </c>
      <c r="I314" s="301">
        <v>4.1649</v>
      </c>
      <c r="J314" s="301">
        <v>1.4188</v>
      </c>
      <c r="K314" s="301">
        <v>3.4548</v>
      </c>
      <c r="L314" s="301">
        <v>4.9837</v>
      </c>
      <c r="M314" s="301">
        <v>0.3919</v>
      </c>
      <c r="N314" s="301">
        <v>3.8011</v>
      </c>
      <c r="O314" s="301">
        <v>0.1683</v>
      </c>
      <c r="P314" s="301">
        <v>0.5601</v>
      </c>
      <c r="R314" s="301">
        <v>2.4925</v>
      </c>
      <c r="S314" s="301">
        <v>0.5457</v>
      </c>
      <c r="U314" s="301">
        <v>0.4662</v>
      </c>
      <c r="V314" s="301">
        <v>0.5533</v>
      </c>
      <c r="W314" s="301">
        <v>0.9532</v>
      </c>
      <c r="X314" s="301">
        <v>2.1295</v>
      </c>
      <c r="Y314" s="301">
        <v>1.7461</v>
      </c>
      <c r="Z314" s="301">
        <v>1.2062</v>
      </c>
      <c r="AA314" s="301">
        <v>5.978</v>
      </c>
      <c r="AB314" s="301">
        <v>0.0731</v>
      </c>
      <c r="AC314" s="301">
        <v>0.2453</v>
      </c>
      <c r="AD314" s="301">
        <v>0.4085</v>
      </c>
      <c r="AE314" s="301">
        <v>1.725</v>
      </c>
      <c r="AF314" s="301">
        <v>1.0208</v>
      </c>
      <c r="AG314" s="301">
        <v>0.1071</v>
      </c>
      <c r="AH314" s="301">
        <v>3.423</v>
      </c>
      <c r="AI314" s="301">
        <v>0.2767</v>
      </c>
      <c r="AJ314" s="301">
        <v>0.4981</v>
      </c>
      <c r="AK314" s="301">
        <v>4.8657</v>
      </c>
      <c r="AL314" s="302">
        <v>59</v>
      </c>
      <c r="AM314" t="s">
        <v>413</v>
      </c>
    </row>
    <row r="315" spans="1:39" ht="12.75">
      <c r="A315" s="441">
        <v>40994</v>
      </c>
      <c r="B315" s="301">
        <v>0.1019</v>
      </c>
      <c r="C315" s="301">
        <v>3.1348</v>
      </c>
      <c r="D315" s="301">
        <v>3.2747</v>
      </c>
      <c r="E315" s="301">
        <v>0.4035</v>
      </c>
      <c r="F315" s="301">
        <v>3.1381</v>
      </c>
      <c r="G315" s="301">
        <v>2.5571</v>
      </c>
      <c r="H315" s="301">
        <v>2.4827</v>
      </c>
      <c r="I315" s="301">
        <v>4.1409</v>
      </c>
      <c r="J315" s="301">
        <v>1.4126</v>
      </c>
      <c r="K315" s="301">
        <v>3.436</v>
      </c>
      <c r="L315" s="301">
        <v>4.9592</v>
      </c>
      <c r="M315" s="301">
        <v>0.3907</v>
      </c>
      <c r="N315" s="301">
        <v>3.7858</v>
      </c>
      <c r="O315" s="301">
        <v>0.1678</v>
      </c>
      <c r="P315" s="301">
        <v>0.5569</v>
      </c>
      <c r="R315" s="301">
        <v>2.4744</v>
      </c>
      <c r="S315" s="301">
        <v>0.5434</v>
      </c>
      <c r="U315" s="301">
        <v>0.4635</v>
      </c>
      <c r="V315" s="301">
        <v>0.5511</v>
      </c>
      <c r="W315" s="301">
        <v>0.9477</v>
      </c>
      <c r="X315" s="301">
        <v>2.1172</v>
      </c>
      <c r="Y315" s="301">
        <v>1.7424</v>
      </c>
      <c r="Z315" s="301">
        <v>1.1993</v>
      </c>
      <c r="AA315" s="301">
        <v>5.9419</v>
      </c>
      <c r="AB315" s="301">
        <v>0.0728</v>
      </c>
      <c r="AC315" s="301">
        <v>0.2456</v>
      </c>
      <c r="AD315" s="301">
        <v>0.407</v>
      </c>
      <c r="AE315" s="301">
        <v>1.7311</v>
      </c>
      <c r="AF315" s="301">
        <v>1.0178</v>
      </c>
      <c r="AG315" s="301">
        <v>0.1073</v>
      </c>
      <c r="AH315" s="301">
        <v>3.4804</v>
      </c>
      <c r="AI315" s="301">
        <v>0.2745</v>
      </c>
      <c r="AJ315" s="301">
        <v>0.4963</v>
      </c>
      <c r="AK315" s="301">
        <v>4.8215</v>
      </c>
      <c r="AL315" s="302">
        <v>60</v>
      </c>
      <c r="AM315" t="s">
        <v>413</v>
      </c>
    </row>
    <row r="316" spans="1:39" ht="12.75">
      <c r="A316" s="441">
        <v>40995</v>
      </c>
      <c r="B316" s="301">
        <v>0.1008</v>
      </c>
      <c r="C316" s="301">
        <v>3.0939</v>
      </c>
      <c r="D316" s="301">
        <v>3.2604</v>
      </c>
      <c r="E316" s="301">
        <v>0.3983</v>
      </c>
      <c r="F316" s="301">
        <v>3.1226</v>
      </c>
      <c r="G316" s="301">
        <v>2.552</v>
      </c>
      <c r="H316" s="301">
        <v>2.4649</v>
      </c>
      <c r="I316" s="301">
        <v>4.13</v>
      </c>
      <c r="J316" s="301">
        <v>1.4211</v>
      </c>
      <c r="K316" s="301">
        <v>3.4236</v>
      </c>
      <c r="L316" s="301">
        <v>4.9434</v>
      </c>
      <c r="M316" s="301">
        <v>0.3861</v>
      </c>
      <c r="N316" s="301">
        <v>3.7357</v>
      </c>
      <c r="O316" s="301">
        <v>0.1677</v>
      </c>
      <c r="P316" s="301">
        <v>0.5554</v>
      </c>
      <c r="R316" s="301">
        <v>2.4473</v>
      </c>
      <c r="S316" s="301">
        <v>0.5446</v>
      </c>
      <c r="U316" s="301">
        <v>0.4643</v>
      </c>
      <c r="V316" s="301">
        <v>0.55</v>
      </c>
      <c r="W316" s="301">
        <v>0.9447</v>
      </c>
      <c r="X316" s="301">
        <v>2.1117</v>
      </c>
      <c r="Y316" s="301">
        <v>1.7343</v>
      </c>
      <c r="Z316" s="301">
        <v>1.1961</v>
      </c>
      <c r="AA316" s="301">
        <v>5.9118</v>
      </c>
      <c r="AB316" s="301">
        <v>0.0721</v>
      </c>
      <c r="AC316" s="301">
        <v>0.2451</v>
      </c>
      <c r="AD316" s="301">
        <v>0.409</v>
      </c>
      <c r="AE316" s="301">
        <v>1.7015</v>
      </c>
      <c r="AF316" s="301">
        <v>1.0122</v>
      </c>
      <c r="AG316" s="301">
        <v>0.107</v>
      </c>
      <c r="AH316" s="301">
        <v>3.4343</v>
      </c>
      <c r="AI316" s="301">
        <v>0.273</v>
      </c>
      <c r="AJ316" s="301">
        <v>0.4906</v>
      </c>
      <c r="AK316" s="301">
        <v>4.7973</v>
      </c>
      <c r="AL316" s="302">
        <v>61</v>
      </c>
      <c r="AM316" t="s">
        <v>413</v>
      </c>
    </row>
    <row r="317" spans="1:39" ht="12.75">
      <c r="A317" s="441">
        <v>40996</v>
      </c>
      <c r="B317" s="301">
        <v>0.1011</v>
      </c>
      <c r="C317" s="301">
        <v>3.11</v>
      </c>
      <c r="D317" s="301">
        <v>3.2381</v>
      </c>
      <c r="E317" s="301">
        <v>0.4005</v>
      </c>
      <c r="F317" s="301">
        <v>3.1185</v>
      </c>
      <c r="G317" s="301">
        <v>2.5491</v>
      </c>
      <c r="H317" s="301">
        <v>2.4741</v>
      </c>
      <c r="I317" s="301">
        <v>4.1503</v>
      </c>
      <c r="J317" s="301">
        <v>1.4207</v>
      </c>
      <c r="K317" s="301">
        <v>3.4415</v>
      </c>
      <c r="L317" s="301">
        <v>4.9497</v>
      </c>
      <c r="M317" s="301">
        <v>0.388</v>
      </c>
      <c r="N317" s="301">
        <v>3.7515</v>
      </c>
      <c r="O317" s="301">
        <v>0.1688</v>
      </c>
      <c r="P317" s="301">
        <v>0.5582</v>
      </c>
      <c r="R317" s="301">
        <v>2.455</v>
      </c>
      <c r="S317" s="301">
        <v>0.5467</v>
      </c>
      <c r="U317" s="301">
        <v>0.4679</v>
      </c>
      <c r="V317" s="301">
        <v>0.5528</v>
      </c>
      <c r="W317" s="301">
        <v>0.9488</v>
      </c>
      <c r="X317" s="301">
        <v>2.122</v>
      </c>
      <c r="Y317" s="301">
        <v>1.7437</v>
      </c>
      <c r="Z317" s="301">
        <v>1.202</v>
      </c>
      <c r="AA317" s="301">
        <v>5.9332</v>
      </c>
      <c r="AB317" s="301">
        <v>0.0724</v>
      </c>
      <c r="AC317" s="301">
        <v>0.2444</v>
      </c>
      <c r="AD317" s="301">
        <v>0.4084</v>
      </c>
      <c r="AE317" s="301">
        <v>1.7059</v>
      </c>
      <c r="AF317" s="301">
        <v>1.0153</v>
      </c>
      <c r="AG317" s="301">
        <v>0.1066</v>
      </c>
      <c r="AH317" s="301">
        <v>3.4516</v>
      </c>
      <c r="AI317" s="301">
        <v>0.2738</v>
      </c>
      <c r="AJ317" s="301">
        <v>0.4931</v>
      </c>
      <c r="AK317" s="301">
        <v>4.8188</v>
      </c>
      <c r="AL317" s="302">
        <v>62</v>
      </c>
      <c r="AM317" t="s">
        <v>413</v>
      </c>
    </row>
    <row r="318" spans="1:39" ht="12.75">
      <c r="A318" s="441">
        <v>40997</v>
      </c>
      <c r="B318" s="301">
        <v>0.1013</v>
      </c>
      <c r="C318" s="301">
        <v>3.1234</v>
      </c>
      <c r="D318" s="301">
        <v>3.237</v>
      </c>
      <c r="E318" s="301">
        <v>0.4024</v>
      </c>
      <c r="F318" s="301">
        <v>3.1262</v>
      </c>
      <c r="G318" s="301">
        <v>2.551</v>
      </c>
      <c r="H318" s="301">
        <v>2.4838</v>
      </c>
      <c r="I318" s="301">
        <v>4.16</v>
      </c>
      <c r="J318" s="301">
        <v>1.4196</v>
      </c>
      <c r="K318" s="301">
        <v>3.451</v>
      </c>
      <c r="L318" s="301">
        <v>4.971</v>
      </c>
      <c r="M318" s="301">
        <v>0.3896</v>
      </c>
      <c r="N318" s="301">
        <v>3.7882</v>
      </c>
      <c r="O318" s="301">
        <v>0.1684</v>
      </c>
      <c r="P318" s="301">
        <v>0.5594</v>
      </c>
      <c r="R318" s="301">
        <v>2.4623</v>
      </c>
      <c r="S318" s="301">
        <v>0.5455</v>
      </c>
      <c r="U318" s="301">
        <v>0.4706</v>
      </c>
      <c r="V318" s="301">
        <v>0.5539</v>
      </c>
      <c r="W318" s="301">
        <v>0.9505</v>
      </c>
      <c r="X318" s="301">
        <v>2.127</v>
      </c>
      <c r="Y318" s="301">
        <v>1.7568</v>
      </c>
      <c r="Z318" s="301">
        <v>1.2048</v>
      </c>
      <c r="AA318" s="301">
        <v>5.9352</v>
      </c>
      <c r="AB318" s="301">
        <v>0.0727</v>
      </c>
      <c r="AC318" s="301">
        <v>0.2446</v>
      </c>
      <c r="AD318" s="301">
        <v>0.4068</v>
      </c>
      <c r="AE318" s="301">
        <v>1.7104</v>
      </c>
      <c r="AF318" s="301">
        <v>1.0183</v>
      </c>
      <c r="AG318" s="301">
        <v>0.1067</v>
      </c>
      <c r="AH318" s="301">
        <v>3.3969</v>
      </c>
      <c r="AI318" s="301">
        <v>0.2748</v>
      </c>
      <c r="AJ318" s="301">
        <v>0.4953</v>
      </c>
      <c r="AK318" s="301">
        <v>4.8254</v>
      </c>
      <c r="AL318" s="302">
        <v>63</v>
      </c>
      <c r="AM318" t="s">
        <v>413</v>
      </c>
    </row>
    <row r="319" spans="1:39" ht="12.75">
      <c r="A319" s="441">
        <v>40998</v>
      </c>
      <c r="B319" s="301">
        <v>0.1013</v>
      </c>
      <c r="C319" s="301">
        <v>3.1191</v>
      </c>
      <c r="D319" s="301">
        <v>3.2448</v>
      </c>
      <c r="E319" s="301">
        <v>0.4018</v>
      </c>
      <c r="F319" s="301">
        <v>3.128</v>
      </c>
      <c r="G319" s="301">
        <v>2.5608</v>
      </c>
      <c r="H319" s="301">
        <v>2.4793</v>
      </c>
      <c r="I319" s="301">
        <v>4.1616</v>
      </c>
      <c r="J319" s="301">
        <v>1.4077</v>
      </c>
      <c r="K319" s="301">
        <v>3.454</v>
      </c>
      <c r="L319" s="301">
        <v>4.9908</v>
      </c>
      <c r="M319" s="301">
        <v>0.3889</v>
      </c>
      <c r="N319" s="301">
        <v>3.7979</v>
      </c>
      <c r="O319" s="301">
        <v>0.1678</v>
      </c>
      <c r="P319" s="301">
        <v>0.5595</v>
      </c>
      <c r="R319" s="301">
        <v>2.4658</v>
      </c>
      <c r="S319" s="301">
        <v>0.5479</v>
      </c>
      <c r="U319" s="301">
        <v>0.4707</v>
      </c>
      <c r="V319" s="301">
        <v>0.5539</v>
      </c>
      <c r="W319" s="301">
        <v>0.9509</v>
      </c>
      <c r="X319" s="301">
        <v>2.1278</v>
      </c>
      <c r="Y319" s="301">
        <v>1.7503</v>
      </c>
      <c r="Z319" s="301">
        <v>1.2053</v>
      </c>
      <c r="AA319" s="301">
        <v>5.9392</v>
      </c>
      <c r="AB319" s="301">
        <v>0.0727</v>
      </c>
      <c r="AC319" s="301">
        <v>0.2443</v>
      </c>
      <c r="AD319" s="301">
        <v>0.4061</v>
      </c>
      <c r="AE319" s="301">
        <v>1.7114</v>
      </c>
      <c r="AF319" s="301">
        <v>1.018</v>
      </c>
      <c r="AG319" s="301">
        <v>0.1064</v>
      </c>
      <c r="AH319" s="301">
        <v>3.3945</v>
      </c>
      <c r="AI319" s="301">
        <v>0.2753</v>
      </c>
      <c r="AJ319" s="301">
        <v>0.4953</v>
      </c>
      <c r="AK319" s="301">
        <v>4.8448</v>
      </c>
      <c r="AL319" s="302">
        <v>64</v>
      </c>
      <c r="AM319" t="s">
        <v>413</v>
      </c>
    </row>
    <row r="320" spans="1:39" ht="12.75">
      <c r="A320" s="86">
        <v>41001</v>
      </c>
      <c r="B320">
        <v>0.1007</v>
      </c>
      <c r="C320">
        <v>3.1017</v>
      </c>
      <c r="D320">
        <v>3.2216</v>
      </c>
      <c r="E320">
        <v>0.3994</v>
      </c>
      <c r="F320">
        <v>3.1093</v>
      </c>
      <c r="G320">
        <v>2.5428</v>
      </c>
      <c r="H320">
        <v>2.4726</v>
      </c>
      <c r="I320">
        <v>4.1428</v>
      </c>
      <c r="J320">
        <v>1.4096</v>
      </c>
      <c r="K320">
        <v>3.4401</v>
      </c>
      <c r="L320">
        <v>4.9793</v>
      </c>
      <c r="M320">
        <v>0.3866</v>
      </c>
      <c r="N320">
        <v>3.7483</v>
      </c>
      <c r="O320">
        <v>0.1673</v>
      </c>
      <c r="P320">
        <v>0.5568</v>
      </c>
      <c r="R320">
        <v>2.4548</v>
      </c>
      <c r="S320">
        <v>0.5465</v>
      </c>
      <c r="U320">
        <v>0.4694</v>
      </c>
      <c r="V320">
        <v>0.553</v>
      </c>
      <c r="W320">
        <v>0.9461</v>
      </c>
      <c r="X320">
        <v>2.1182</v>
      </c>
      <c r="Y320">
        <v>1.7429</v>
      </c>
      <c r="Z320">
        <v>1.1998</v>
      </c>
      <c r="AA320">
        <v>5.9115</v>
      </c>
      <c r="AB320">
        <v>0.0726</v>
      </c>
      <c r="AC320">
        <v>0.2429</v>
      </c>
      <c r="AD320">
        <v>0.406</v>
      </c>
      <c r="AE320">
        <v>1.6983</v>
      </c>
      <c r="AF320">
        <v>1.0153</v>
      </c>
      <c r="AG320">
        <v>0.1057</v>
      </c>
      <c r="AH320">
        <v>3.4438</v>
      </c>
      <c r="AI320">
        <v>0.2754</v>
      </c>
      <c r="AJ320">
        <v>0.4925</v>
      </c>
      <c r="AK320">
        <v>4.805</v>
      </c>
      <c r="AL320">
        <v>65</v>
      </c>
      <c r="AM320" t="s">
        <v>413</v>
      </c>
    </row>
    <row r="321" spans="1:39" ht="12.75">
      <c r="A321" s="86">
        <v>41002</v>
      </c>
      <c r="B321">
        <v>0.1006</v>
      </c>
      <c r="C321">
        <v>3.099</v>
      </c>
      <c r="D321">
        <v>3.216</v>
      </c>
      <c r="E321">
        <v>0.3991</v>
      </c>
      <c r="F321">
        <v>3.1263</v>
      </c>
      <c r="G321">
        <v>2.5474</v>
      </c>
      <c r="H321">
        <v>2.477</v>
      </c>
      <c r="I321">
        <v>4.1327</v>
      </c>
      <c r="J321">
        <v>1.404</v>
      </c>
      <c r="K321">
        <v>3.4335</v>
      </c>
      <c r="L321">
        <v>4.9669</v>
      </c>
      <c r="M321">
        <v>0.3865</v>
      </c>
      <c r="N321">
        <v>3.778</v>
      </c>
      <c r="O321">
        <v>0.1674</v>
      </c>
      <c r="P321">
        <v>0.5554</v>
      </c>
      <c r="R321">
        <v>2.4509</v>
      </c>
      <c r="S321">
        <v>0.5467</v>
      </c>
      <c r="U321">
        <v>0.4703</v>
      </c>
      <c r="V321">
        <v>0.5517</v>
      </c>
      <c r="W321">
        <v>0.9438</v>
      </c>
      <c r="X321">
        <v>2.113</v>
      </c>
      <c r="Y321">
        <v>1.7434</v>
      </c>
      <c r="Z321">
        <v>1.1969</v>
      </c>
      <c r="AA321">
        <v>5.8988</v>
      </c>
      <c r="AB321">
        <v>0.0726</v>
      </c>
      <c r="AC321">
        <v>0.2433</v>
      </c>
      <c r="AD321">
        <v>0.4048</v>
      </c>
      <c r="AE321">
        <v>1.6904</v>
      </c>
      <c r="AF321">
        <v>1.0171</v>
      </c>
      <c r="AG321">
        <v>0.1057</v>
      </c>
      <c r="AH321">
        <v>3.4404</v>
      </c>
      <c r="AI321">
        <v>0.2761</v>
      </c>
      <c r="AJ321">
        <v>0.4921</v>
      </c>
      <c r="AK321">
        <v>4.8049</v>
      </c>
      <c r="AL321">
        <v>66</v>
      </c>
      <c r="AM321" t="s">
        <v>413</v>
      </c>
    </row>
    <row r="322" spans="1:39" ht="12.75">
      <c r="A322" s="86">
        <v>41003</v>
      </c>
      <c r="B322">
        <v>0.1016</v>
      </c>
      <c r="C322">
        <v>3.1503</v>
      </c>
      <c r="D322">
        <v>3.2298</v>
      </c>
      <c r="E322">
        <v>0.4057</v>
      </c>
      <c r="F322">
        <v>3.1696</v>
      </c>
      <c r="G322">
        <v>2.5617</v>
      </c>
      <c r="H322">
        <v>2.5009</v>
      </c>
      <c r="I322">
        <v>4.1495</v>
      </c>
      <c r="J322">
        <v>1.4063</v>
      </c>
      <c r="K322">
        <v>3.4449</v>
      </c>
      <c r="L322">
        <v>5.0057</v>
      </c>
      <c r="M322">
        <v>0.3927</v>
      </c>
      <c r="N322">
        <v>3.812</v>
      </c>
      <c r="O322">
        <v>0.1688</v>
      </c>
      <c r="P322">
        <v>0.5577</v>
      </c>
      <c r="R322">
        <v>2.4736</v>
      </c>
      <c r="S322">
        <v>0.548</v>
      </c>
      <c r="U322">
        <v>0.4715</v>
      </c>
      <c r="V322">
        <v>0.5546</v>
      </c>
      <c r="W322">
        <v>0.9487</v>
      </c>
      <c r="X322">
        <v>2.1216</v>
      </c>
      <c r="Y322">
        <v>1.7592</v>
      </c>
      <c r="Z322">
        <v>1.2018</v>
      </c>
      <c r="AA322">
        <v>5.9287</v>
      </c>
      <c r="AB322">
        <v>0.0736</v>
      </c>
      <c r="AC322">
        <v>0.2457</v>
      </c>
      <c r="AD322">
        <v>0.4051</v>
      </c>
      <c r="AE322">
        <v>1.7254</v>
      </c>
      <c r="AF322">
        <v>1.0279</v>
      </c>
      <c r="AG322">
        <v>0.107</v>
      </c>
      <c r="AH322">
        <v>3.4985</v>
      </c>
      <c r="AI322">
        <v>0.2786</v>
      </c>
      <c r="AJ322">
        <v>0.5002</v>
      </c>
      <c r="AK322">
        <v>4.8292</v>
      </c>
      <c r="AL322">
        <v>67</v>
      </c>
      <c r="AM322" t="s">
        <v>413</v>
      </c>
    </row>
    <row r="323" spans="1:39" ht="12.75">
      <c r="A323" s="86">
        <v>41004</v>
      </c>
      <c r="B323">
        <v>0.1023</v>
      </c>
      <c r="C323">
        <v>3.1678</v>
      </c>
      <c r="D323">
        <v>3.2585</v>
      </c>
      <c r="E323">
        <v>0.4079</v>
      </c>
      <c r="F323">
        <v>3.1754</v>
      </c>
      <c r="G323">
        <v>2.5834</v>
      </c>
      <c r="H323">
        <v>2.5155</v>
      </c>
      <c r="I323">
        <v>4.1544</v>
      </c>
      <c r="J323">
        <v>1.4019</v>
      </c>
      <c r="K323">
        <v>3.4526</v>
      </c>
      <c r="L323">
        <v>5.0271</v>
      </c>
      <c r="M323">
        <v>0.3934</v>
      </c>
      <c r="N323">
        <v>3.8543</v>
      </c>
      <c r="O323">
        <v>0.1685</v>
      </c>
      <c r="P323">
        <v>0.5584</v>
      </c>
      <c r="R323">
        <v>2.4814</v>
      </c>
      <c r="S323">
        <v>0.5484</v>
      </c>
      <c r="U323">
        <v>0.4719</v>
      </c>
      <c r="V323">
        <v>0.5554</v>
      </c>
      <c r="W323">
        <v>0.9501</v>
      </c>
      <c r="X323">
        <v>2.1241</v>
      </c>
      <c r="Y323">
        <v>1.7645</v>
      </c>
      <c r="Z323">
        <v>1.2032</v>
      </c>
      <c r="AA323">
        <v>5.9374</v>
      </c>
      <c r="AB323">
        <v>0.0741</v>
      </c>
      <c r="AC323">
        <v>0.2474</v>
      </c>
      <c r="AD323">
        <v>0.4045</v>
      </c>
      <c r="AE323">
        <v>1.7336</v>
      </c>
      <c r="AF323">
        <v>1.0334</v>
      </c>
      <c r="AG323">
        <v>0.1076</v>
      </c>
      <c r="AH323">
        <v>3.5159</v>
      </c>
      <c r="AI323">
        <v>0.2804</v>
      </c>
      <c r="AJ323">
        <v>0.5018</v>
      </c>
      <c r="AK323">
        <v>4.8684</v>
      </c>
      <c r="AL323">
        <v>68</v>
      </c>
      <c r="AM323" t="s">
        <v>413</v>
      </c>
    </row>
    <row r="324" spans="1:39" ht="12.75">
      <c r="A324" s="86">
        <v>41005</v>
      </c>
      <c r="B324">
        <v>0.1026</v>
      </c>
      <c r="C324">
        <v>3.1814</v>
      </c>
      <c r="D324">
        <v>3.2814</v>
      </c>
      <c r="E324">
        <v>0.4096</v>
      </c>
      <c r="F324">
        <v>3.2052</v>
      </c>
      <c r="G324">
        <v>2.6008</v>
      </c>
      <c r="H324">
        <v>2.5258</v>
      </c>
      <c r="I324">
        <v>4.1565</v>
      </c>
      <c r="J324">
        <v>1.4067</v>
      </c>
      <c r="K324">
        <v>3.4584</v>
      </c>
      <c r="L324">
        <v>5.0418</v>
      </c>
      <c r="M324">
        <v>0.3961</v>
      </c>
      <c r="N324">
        <v>3.8588</v>
      </c>
      <c r="O324">
        <v>0.1689</v>
      </c>
      <c r="P324">
        <v>0.5586</v>
      </c>
      <c r="R324">
        <v>2.4861</v>
      </c>
      <c r="S324">
        <v>0.5495</v>
      </c>
      <c r="U324">
        <v>0.4715</v>
      </c>
      <c r="V324">
        <v>0.5556</v>
      </c>
      <c r="W324">
        <v>0.9506</v>
      </c>
      <c r="X324">
        <v>2.1252</v>
      </c>
      <c r="Y324">
        <v>1.7748</v>
      </c>
      <c r="Z324">
        <v>1.2038</v>
      </c>
      <c r="AA324">
        <v>5.9345</v>
      </c>
      <c r="AB324">
        <v>0.0744</v>
      </c>
      <c r="AC324">
        <v>0.2479</v>
      </c>
      <c r="AD324">
        <v>0.4056</v>
      </c>
      <c r="AE324">
        <v>1.7465</v>
      </c>
      <c r="AF324">
        <v>1.0387</v>
      </c>
      <c r="AG324">
        <v>0.1078</v>
      </c>
      <c r="AH324">
        <v>3.5328</v>
      </c>
      <c r="AI324">
        <v>0.281</v>
      </c>
      <c r="AJ324">
        <v>0.5045</v>
      </c>
      <c r="AK324">
        <v>4.8861</v>
      </c>
      <c r="AL324">
        <v>69</v>
      </c>
      <c r="AM324" t="s">
        <v>413</v>
      </c>
    </row>
    <row r="325" spans="1:39" ht="12.75">
      <c r="A325" s="86">
        <v>41009</v>
      </c>
      <c r="B325">
        <v>0.1031</v>
      </c>
      <c r="C325">
        <v>3.1904</v>
      </c>
      <c r="D325">
        <v>3.2805</v>
      </c>
      <c r="E325">
        <v>0.4108</v>
      </c>
      <c r="F325">
        <v>3.1928</v>
      </c>
      <c r="G325">
        <v>2.6089</v>
      </c>
      <c r="H325">
        <v>2.5301</v>
      </c>
      <c r="I325">
        <v>4.1756</v>
      </c>
      <c r="J325">
        <v>1.4102</v>
      </c>
      <c r="K325">
        <v>3.4732</v>
      </c>
      <c r="L325">
        <v>5.0592</v>
      </c>
      <c r="M325">
        <v>0.398</v>
      </c>
      <c r="N325">
        <v>3.9272</v>
      </c>
      <c r="O325">
        <v>0.1684</v>
      </c>
      <c r="P325">
        <v>0.5613</v>
      </c>
      <c r="R325">
        <v>2.4947</v>
      </c>
      <c r="S325">
        <v>0.55</v>
      </c>
      <c r="U325">
        <v>0.4707</v>
      </c>
      <c r="V325">
        <v>0.5584</v>
      </c>
      <c r="W325">
        <v>0.9555</v>
      </c>
      <c r="X325">
        <v>2.135</v>
      </c>
      <c r="Y325">
        <v>1.7735</v>
      </c>
      <c r="Z325">
        <v>1.2093</v>
      </c>
      <c r="AA325">
        <v>5.9728</v>
      </c>
      <c r="AB325">
        <v>0.0744</v>
      </c>
      <c r="AC325">
        <v>0.2447</v>
      </c>
      <c r="AD325">
        <v>0.4024</v>
      </c>
      <c r="AE325">
        <v>1.7558</v>
      </c>
      <c r="AF325">
        <v>1.0372</v>
      </c>
      <c r="AG325">
        <v>0.1076</v>
      </c>
      <c r="AH325">
        <v>3.5411</v>
      </c>
      <c r="AI325">
        <v>0.2799</v>
      </c>
      <c r="AJ325">
        <v>0.5055</v>
      </c>
      <c r="AK325">
        <v>4.9149</v>
      </c>
      <c r="AL325">
        <v>70</v>
      </c>
      <c r="AM325" t="s">
        <v>413</v>
      </c>
    </row>
    <row r="326" spans="1:39" ht="12.75">
      <c r="A326" s="86">
        <v>41010</v>
      </c>
      <c r="B326">
        <v>0.1038</v>
      </c>
      <c r="C326">
        <v>3.2034</v>
      </c>
      <c r="D326">
        <v>3.2922</v>
      </c>
      <c r="E326">
        <v>0.4125</v>
      </c>
      <c r="F326">
        <v>3.1906</v>
      </c>
      <c r="G326">
        <v>2.614</v>
      </c>
      <c r="H326">
        <v>2.5421</v>
      </c>
      <c r="I326">
        <v>4.2008</v>
      </c>
      <c r="J326">
        <v>1.4038</v>
      </c>
      <c r="K326">
        <v>3.4966</v>
      </c>
      <c r="L326">
        <v>5.091</v>
      </c>
      <c r="M326">
        <v>0.3996</v>
      </c>
      <c r="N326">
        <v>3.9739</v>
      </c>
      <c r="O326">
        <v>0.169</v>
      </c>
      <c r="P326">
        <v>0.5648</v>
      </c>
      <c r="R326">
        <v>2.5133</v>
      </c>
      <c r="S326">
        <v>0.5533</v>
      </c>
      <c r="U326">
        <v>0.4721</v>
      </c>
      <c r="V326">
        <v>0.5624</v>
      </c>
      <c r="W326">
        <v>0.9602</v>
      </c>
      <c r="X326">
        <v>2.1479</v>
      </c>
      <c r="Y326">
        <v>1.769</v>
      </c>
      <c r="Z326">
        <v>1.2166</v>
      </c>
      <c r="AA326">
        <v>6.0114</v>
      </c>
      <c r="AB326">
        <v>0.0749</v>
      </c>
      <c r="AC326">
        <v>0.2436</v>
      </c>
      <c r="AD326">
        <v>0.3991</v>
      </c>
      <c r="AE326">
        <v>1.7465</v>
      </c>
      <c r="AF326">
        <v>1.0451</v>
      </c>
      <c r="AG326">
        <v>0.1074</v>
      </c>
      <c r="AH326">
        <v>3.5559</v>
      </c>
      <c r="AI326">
        <v>0.28</v>
      </c>
      <c r="AJ326">
        <v>0.5079</v>
      </c>
      <c r="AK326">
        <v>4.9251</v>
      </c>
      <c r="AL326">
        <v>71</v>
      </c>
      <c r="AM326" t="s">
        <v>413</v>
      </c>
    </row>
    <row r="327" spans="1:39" ht="12.75">
      <c r="A327" s="86">
        <v>41011</v>
      </c>
      <c r="B327">
        <v>0.1032</v>
      </c>
      <c r="C327">
        <v>3.1818</v>
      </c>
      <c r="D327">
        <v>3.3043</v>
      </c>
      <c r="E327">
        <v>0.4098</v>
      </c>
      <c r="F327">
        <v>3.1802</v>
      </c>
      <c r="G327">
        <v>2.6114</v>
      </c>
      <c r="H327">
        <v>2.5345</v>
      </c>
      <c r="I327">
        <v>4.174</v>
      </c>
      <c r="J327">
        <v>1.4037</v>
      </c>
      <c r="K327">
        <v>3.4728</v>
      </c>
      <c r="L327">
        <v>5.0698</v>
      </c>
      <c r="M327">
        <v>0.3969</v>
      </c>
      <c r="N327">
        <v>3.9246</v>
      </c>
      <c r="O327">
        <v>0.1683</v>
      </c>
      <c r="P327">
        <v>0.5611</v>
      </c>
      <c r="R327">
        <v>2.4979</v>
      </c>
      <c r="S327">
        <v>0.5489</v>
      </c>
      <c r="U327">
        <v>0.4687</v>
      </c>
      <c r="V327">
        <v>0.5583</v>
      </c>
      <c r="W327">
        <v>0.9543</v>
      </c>
      <c r="X327">
        <v>2.1342</v>
      </c>
      <c r="Y327">
        <v>1.7676</v>
      </c>
      <c r="Z327">
        <v>1.2089</v>
      </c>
      <c r="AA327">
        <v>5.974</v>
      </c>
      <c r="AB327">
        <v>0.0745</v>
      </c>
      <c r="AC327">
        <v>0.2427</v>
      </c>
      <c r="AD327">
        <v>0.4004</v>
      </c>
      <c r="AE327">
        <v>1.7325</v>
      </c>
      <c r="AF327">
        <v>1.0369</v>
      </c>
      <c r="AG327">
        <v>0.1079</v>
      </c>
      <c r="AH327">
        <v>3.5316</v>
      </c>
      <c r="AI327">
        <v>0.2791</v>
      </c>
      <c r="AJ327">
        <v>0.5045</v>
      </c>
      <c r="AK327">
        <v>4.9028</v>
      </c>
      <c r="AL327">
        <v>72</v>
      </c>
      <c r="AM327" t="s">
        <v>413</v>
      </c>
    </row>
    <row r="328" spans="1:39" ht="12.75">
      <c r="A328" s="86">
        <v>41012</v>
      </c>
      <c r="B328">
        <v>0.1033</v>
      </c>
      <c r="C328">
        <v>3.1765</v>
      </c>
      <c r="D328">
        <v>3.2971</v>
      </c>
      <c r="E328">
        <v>0.4092</v>
      </c>
      <c r="F328">
        <v>3.1878</v>
      </c>
      <c r="G328">
        <v>2.631</v>
      </c>
      <c r="H328">
        <v>2.5466</v>
      </c>
      <c r="I328">
        <v>4.1779</v>
      </c>
      <c r="J328">
        <v>1.4053</v>
      </c>
      <c r="K328">
        <v>3.4765</v>
      </c>
      <c r="L328">
        <v>5.058</v>
      </c>
      <c r="M328">
        <v>0.3965</v>
      </c>
      <c r="N328">
        <v>3.9248</v>
      </c>
      <c r="O328">
        <v>0.1689</v>
      </c>
      <c r="P328">
        <v>0.5617</v>
      </c>
      <c r="R328">
        <v>2.4996</v>
      </c>
      <c r="S328">
        <v>0.5491</v>
      </c>
      <c r="U328">
        <v>0.4694</v>
      </c>
      <c r="V328">
        <v>0.559</v>
      </c>
      <c r="W328">
        <v>0.9553</v>
      </c>
      <c r="X328">
        <v>2.1362</v>
      </c>
      <c r="Y328">
        <v>1.7714</v>
      </c>
      <c r="Z328">
        <v>1.21</v>
      </c>
      <c r="AA328">
        <v>5.9778</v>
      </c>
      <c r="AB328">
        <v>0.0744</v>
      </c>
      <c r="AC328">
        <v>0.2427</v>
      </c>
      <c r="AD328">
        <v>0.4014</v>
      </c>
      <c r="AE328">
        <v>1.7381</v>
      </c>
      <c r="AF328">
        <v>1.039</v>
      </c>
      <c r="AG328">
        <v>0.1075</v>
      </c>
      <c r="AH328">
        <v>3.5261</v>
      </c>
      <c r="AI328">
        <v>0.2798</v>
      </c>
      <c r="AJ328">
        <v>0.504</v>
      </c>
      <c r="AK328">
        <v>4.8993</v>
      </c>
      <c r="AL328">
        <v>73</v>
      </c>
      <c r="AM328" t="s">
        <v>413</v>
      </c>
    </row>
    <row r="329" spans="1:39" ht="12.75">
      <c r="A329" s="86">
        <v>41015</v>
      </c>
      <c r="B329">
        <v>0.1048</v>
      </c>
      <c r="C329">
        <v>3.2289</v>
      </c>
      <c r="D329">
        <v>3.3391</v>
      </c>
      <c r="E329">
        <v>0.4162</v>
      </c>
      <c r="F329">
        <v>3.2292</v>
      </c>
      <c r="G329">
        <v>2.6484</v>
      </c>
      <c r="H329">
        <v>2.5788</v>
      </c>
      <c r="I329">
        <v>4.2028</v>
      </c>
      <c r="J329">
        <v>1.4057</v>
      </c>
      <c r="K329">
        <v>3.494</v>
      </c>
      <c r="L329">
        <v>5.1148</v>
      </c>
      <c r="M329">
        <v>0.3982</v>
      </c>
      <c r="N329">
        <v>4.0025</v>
      </c>
      <c r="O329">
        <v>0.1693</v>
      </c>
      <c r="P329">
        <v>0.565</v>
      </c>
      <c r="R329">
        <v>2.5227</v>
      </c>
      <c r="S329">
        <v>0.5552</v>
      </c>
      <c r="U329">
        <v>0.473</v>
      </c>
      <c r="V329">
        <v>0.5624</v>
      </c>
      <c r="W329">
        <v>0.961</v>
      </c>
      <c r="X329">
        <v>2.1489</v>
      </c>
      <c r="Y329">
        <v>1.79</v>
      </c>
      <c r="Z329">
        <v>1.2172</v>
      </c>
      <c r="AA329">
        <v>6.0134</v>
      </c>
      <c r="AB329">
        <v>0.0755</v>
      </c>
      <c r="AC329">
        <v>0.2439</v>
      </c>
      <c r="AD329">
        <v>0.4047</v>
      </c>
      <c r="AE329">
        <v>1.7578</v>
      </c>
      <c r="AF329">
        <v>1.0526</v>
      </c>
      <c r="AG329">
        <v>0.1086</v>
      </c>
      <c r="AH329">
        <v>3.5168</v>
      </c>
      <c r="AI329">
        <v>0.2837</v>
      </c>
      <c r="AJ329">
        <v>0.5113</v>
      </c>
      <c r="AK329">
        <v>4.9322</v>
      </c>
      <c r="AL329">
        <v>74</v>
      </c>
      <c r="AM329" t="s">
        <v>413</v>
      </c>
    </row>
    <row r="330" spans="1:39" ht="12.75">
      <c r="A330" s="86">
        <v>41016</v>
      </c>
      <c r="B330">
        <v>0.1036</v>
      </c>
      <c r="C330">
        <v>3.1872</v>
      </c>
      <c r="D330">
        <v>3.2979</v>
      </c>
      <c r="E330">
        <v>0.4106</v>
      </c>
      <c r="F330">
        <v>3.1913</v>
      </c>
      <c r="G330">
        <v>2.6067</v>
      </c>
      <c r="H330">
        <v>2.546</v>
      </c>
      <c r="I330">
        <v>4.19</v>
      </c>
      <c r="J330">
        <v>1.4056</v>
      </c>
      <c r="K330">
        <v>3.4872</v>
      </c>
      <c r="L330">
        <v>5.0862</v>
      </c>
      <c r="M330">
        <v>0.3977</v>
      </c>
      <c r="N330">
        <v>3.9487</v>
      </c>
      <c r="O330">
        <v>0.1689</v>
      </c>
      <c r="P330">
        <v>0.5632</v>
      </c>
      <c r="R330">
        <v>2.5118</v>
      </c>
      <c r="S330">
        <v>0.5544</v>
      </c>
      <c r="U330">
        <v>0.4713</v>
      </c>
      <c r="V330">
        <v>0.5593</v>
      </c>
      <c r="W330">
        <v>0.9578</v>
      </c>
      <c r="X330">
        <v>2.1423</v>
      </c>
      <c r="Y330">
        <v>1.7781</v>
      </c>
      <c r="Z330">
        <v>1.2135</v>
      </c>
      <c r="AA330">
        <v>5.9951</v>
      </c>
      <c r="AB330">
        <v>0.0747</v>
      </c>
      <c r="AC330">
        <v>0.2416</v>
      </c>
      <c r="AD330">
        <v>0.4039</v>
      </c>
      <c r="AE330">
        <v>1.7237</v>
      </c>
      <c r="AF330">
        <v>1.0393</v>
      </c>
      <c r="AG330">
        <v>0.1077</v>
      </c>
      <c r="AH330">
        <v>3.4714</v>
      </c>
      <c r="AI330">
        <v>0.2802</v>
      </c>
      <c r="AJ330">
        <v>0.5056</v>
      </c>
      <c r="AK330">
        <v>4.9434</v>
      </c>
      <c r="AL330">
        <v>75</v>
      </c>
      <c r="AM330" t="s">
        <v>413</v>
      </c>
    </row>
    <row r="331" spans="1:39" ht="12.75">
      <c r="A331" s="86">
        <v>41017</v>
      </c>
      <c r="B331">
        <v>0.1036</v>
      </c>
      <c r="C331">
        <v>3.1902</v>
      </c>
      <c r="D331">
        <v>3.308</v>
      </c>
      <c r="E331">
        <v>0.4112</v>
      </c>
      <c r="F331">
        <v>3.2242</v>
      </c>
      <c r="G331">
        <v>2.6144</v>
      </c>
      <c r="H331">
        <v>2.5501</v>
      </c>
      <c r="I331">
        <v>4.176</v>
      </c>
      <c r="J331">
        <v>1.4056</v>
      </c>
      <c r="K331">
        <v>3.4738</v>
      </c>
      <c r="L331">
        <v>5.0995</v>
      </c>
      <c r="M331">
        <v>0.3983</v>
      </c>
      <c r="N331">
        <v>3.9151</v>
      </c>
      <c r="O331">
        <v>0.1686</v>
      </c>
      <c r="P331">
        <v>0.5614</v>
      </c>
      <c r="R331">
        <v>2.5071</v>
      </c>
      <c r="S331">
        <v>0.5546</v>
      </c>
      <c r="U331">
        <v>0.4716</v>
      </c>
      <c r="V331">
        <v>0.5577</v>
      </c>
      <c r="W331">
        <v>0.9539</v>
      </c>
      <c r="X331">
        <v>2.1352</v>
      </c>
      <c r="Y331">
        <v>1.7825</v>
      </c>
      <c r="Z331">
        <v>1.2094</v>
      </c>
      <c r="AA331">
        <v>5.9751</v>
      </c>
      <c r="AB331">
        <v>0.0748</v>
      </c>
      <c r="AC331">
        <v>0.2435</v>
      </c>
      <c r="AD331">
        <v>0.4084</v>
      </c>
      <c r="AE331">
        <v>1.7145</v>
      </c>
      <c r="AF331">
        <v>1.0413</v>
      </c>
      <c r="AG331">
        <v>0.1081</v>
      </c>
      <c r="AH331">
        <v>3.4767</v>
      </c>
      <c r="AI331">
        <v>0.2803</v>
      </c>
      <c r="AJ331">
        <v>0.5064</v>
      </c>
      <c r="AK331">
        <v>4.9053</v>
      </c>
      <c r="AL331">
        <v>76</v>
      </c>
      <c r="AM331" t="s">
        <v>413</v>
      </c>
    </row>
    <row r="332" spans="1:39" ht="12.75">
      <c r="A332" s="86">
        <v>41018</v>
      </c>
      <c r="B332">
        <v>0.1033</v>
      </c>
      <c r="C332">
        <v>3.1879</v>
      </c>
      <c r="D332">
        <v>3.3071</v>
      </c>
      <c r="E332">
        <v>0.4107</v>
      </c>
      <c r="F332">
        <v>3.2234</v>
      </c>
      <c r="G332">
        <v>2.6095</v>
      </c>
      <c r="H332">
        <v>2.5478</v>
      </c>
      <c r="I332">
        <v>4.1865</v>
      </c>
      <c r="J332">
        <v>1.4063</v>
      </c>
      <c r="K332">
        <v>3.4837</v>
      </c>
      <c r="L332">
        <v>5.1183</v>
      </c>
      <c r="M332">
        <v>0.3977</v>
      </c>
      <c r="N332">
        <v>3.9113</v>
      </c>
      <c r="O332">
        <v>0.1685</v>
      </c>
      <c r="P332">
        <v>0.5628</v>
      </c>
      <c r="R332">
        <v>2.5122</v>
      </c>
      <c r="S332">
        <v>0.5552</v>
      </c>
      <c r="U332">
        <v>0.4735</v>
      </c>
      <c r="V332">
        <v>0.5584</v>
      </c>
      <c r="W332">
        <v>0.9566</v>
      </c>
      <c r="X332">
        <v>2.1406</v>
      </c>
      <c r="Y332">
        <v>1.785</v>
      </c>
      <c r="Z332">
        <v>1.2125</v>
      </c>
      <c r="AA332">
        <v>5.9901</v>
      </c>
      <c r="AB332">
        <v>0.0748</v>
      </c>
      <c r="AC332">
        <v>0.2422</v>
      </c>
      <c r="AD332">
        <v>0.4068</v>
      </c>
      <c r="AE332">
        <v>1.6965</v>
      </c>
      <c r="AF332">
        <v>1.0399</v>
      </c>
      <c r="AG332">
        <v>0.108</v>
      </c>
      <c r="AH332">
        <v>3.4716</v>
      </c>
      <c r="AI332">
        <v>0.2801</v>
      </c>
      <c r="AJ332">
        <v>0.5057</v>
      </c>
      <c r="AK332">
        <v>4.9218</v>
      </c>
      <c r="AL332">
        <v>77</v>
      </c>
      <c r="AM332" t="s">
        <v>413</v>
      </c>
    </row>
    <row r="333" spans="1:39" ht="12.75">
      <c r="A333" s="86">
        <v>41019</v>
      </c>
      <c r="B333">
        <v>0.1029</v>
      </c>
      <c r="C333">
        <v>3.1828</v>
      </c>
      <c r="D333">
        <v>3.2869</v>
      </c>
      <c r="E333">
        <v>0.4101</v>
      </c>
      <c r="F333">
        <v>3.201</v>
      </c>
      <c r="G333">
        <v>2.5912</v>
      </c>
      <c r="H333">
        <v>2.545</v>
      </c>
      <c r="I333">
        <v>4.1885</v>
      </c>
      <c r="J333">
        <v>1.4117</v>
      </c>
      <c r="K333">
        <v>3.4853</v>
      </c>
      <c r="L333">
        <v>5.1242</v>
      </c>
      <c r="M333">
        <v>0.3972</v>
      </c>
      <c r="N333">
        <v>3.8961</v>
      </c>
      <c r="O333">
        <v>0.1686</v>
      </c>
      <c r="P333">
        <v>0.5631</v>
      </c>
      <c r="R333">
        <v>2.5126</v>
      </c>
      <c r="S333">
        <v>0.5553</v>
      </c>
      <c r="U333">
        <v>0.4737</v>
      </c>
      <c r="V333">
        <v>0.5572</v>
      </c>
      <c r="W333">
        <v>0.9573</v>
      </c>
      <c r="X333">
        <v>2.1416</v>
      </c>
      <c r="Y333">
        <v>1.7768</v>
      </c>
      <c r="Z333">
        <v>1.2131</v>
      </c>
      <c r="AA333">
        <v>5.9896</v>
      </c>
      <c r="AB333">
        <v>0.0747</v>
      </c>
      <c r="AC333">
        <v>0.2415</v>
      </c>
      <c r="AD333">
        <v>0.4077</v>
      </c>
      <c r="AE333">
        <v>1.6922</v>
      </c>
      <c r="AF333">
        <v>1.0382</v>
      </c>
      <c r="AG333">
        <v>0.1078</v>
      </c>
      <c r="AH333">
        <v>3.4662</v>
      </c>
      <c r="AI333">
        <v>0.2792</v>
      </c>
      <c r="AJ333">
        <v>0.5046</v>
      </c>
      <c r="AK333">
        <v>4.932</v>
      </c>
      <c r="AL333">
        <v>78</v>
      </c>
      <c r="AM333" t="s">
        <v>413</v>
      </c>
    </row>
    <row r="334" spans="1:39" ht="12.75">
      <c r="A334" s="86">
        <v>41022</v>
      </c>
      <c r="B334">
        <v>0.1031</v>
      </c>
      <c r="C334">
        <v>3.1972</v>
      </c>
      <c r="D334">
        <v>3.2919</v>
      </c>
      <c r="E334">
        <v>0.4119</v>
      </c>
      <c r="F334">
        <v>3.2108</v>
      </c>
      <c r="G334">
        <v>2.596</v>
      </c>
      <c r="H334">
        <v>2.56</v>
      </c>
      <c r="I334">
        <v>4.2033</v>
      </c>
      <c r="J334">
        <v>1.4086</v>
      </c>
      <c r="K334">
        <v>3.4991</v>
      </c>
      <c r="L334">
        <v>5.1457</v>
      </c>
      <c r="M334">
        <v>0.3989</v>
      </c>
      <c r="N334">
        <v>3.944</v>
      </c>
      <c r="O334">
        <v>0.1678</v>
      </c>
      <c r="P334">
        <v>0.5651</v>
      </c>
      <c r="R334">
        <v>2.5253</v>
      </c>
      <c r="S334">
        <v>0.5559</v>
      </c>
      <c r="U334">
        <v>0.4747</v>
      </c>
      <c r="V334">
        <v>0.5582</v>
      </c>
      <c r="W334">
        <v>0.96</v>
      </c>
      <c r="X334">
        <v>2.1491</v>
      </c>
      <c r="Y334">
        <v>1.781</v>
      </c>
      <c r="Z334">
        <v>1.2173</v>
      </c>
      <c r="AA334">
        <v>6.0159</v>
      </c>
      <c r="AB334">
        <v>0.0749</v>
      </c>
      <c r="AC334">
        <v>0.2426</v>
      </c>
      <c r="AD334">
        <v>0.4076</v>
      </c>
      <c r="AE334">
        <v>1.7082</v>
      </c>
      <c r="AF334">
        <v>1.0425</v>
      </c>
      <c r="AG334">
        <v>0.1083</v>
      </c>
      <c r="AH334">
        <v>3.4811</v>
      </c>
      <c r="AI334">
        <v>0.2802</v>
      </c>
      <c r="AJ334">
        <v>0.5068</v>
      </c>
      <c r="AK334">
        <v>4.9221</v>
      </c>
      <c r="AL334">
        <v>79</v>
      </c>
      <c r="AM334" t="s">
        <v>413</v>
      </c>
    </row>
    <row r="335" spans="1:39" ht="12.75">
      <c r="A335" s="86">
        <v>41023</v>
      </c>
      <c r="B335">
        <v>0.1033</v>
      </c>
      <c r="C335">
        <v>3.1946</v>
      </c>
      <c r="D335">
        <v>3.2839</v>
      </c>
      <c r="E335">
        <v>0.4116</v>
      </c>
      <c r="F335">
        <v>3.225</v>
      </c>
      <c r="G335">
        <v>2.5969</v>
      </c>
      <c r="H335">
        <v>2.5606</v>
      </c>
      <c r="I335">
        <v>4.2059</v>
      </c>
      <c r="J335">
        <v>1.4096</v>
      </c>
      <c r="K335">
        <v>3.4992</v>
      </c>
      <c r="L335">
        <v>5.1552</v>
      </c>
      <c r="M335">
        <v>0.3986</v>
      </c>
      <c r="N335">
        <v>3.9368</v>
      </c>
      <c r="O335">
        <v>0.168</v>
      </c>
      <c r="P335">
        <v>0.5653</v>
      </c>
      <c r="R335">
        <v>2.5259</v>
      </c>
      <c r="S335">
        <v>0.5571</v>
      </c>
      <c r="U335">
        <v>0.4741</v>
      </c>
      <c r="V335">
        <v>0.5579</v>
      </c>
      <c r="W335">
        <v>0.9594</v>
      </c>
      <c r="X335">
        <v>2.1505</v>
      </c>
      <c r="Y335">
        <v>1.7871</v>
      </c>
      <c r="Z335">
        <v>1.2181</v>
      </c>
      <c r="AA335">
        <v>6.0136</v>
      </c>
      <c r="AB335">
        <v>0.0749</v>
      </c>
      <c r="AC335">
        <v>0.2425</v>
      </c>
      <c r="AD335">
        <v>0.4081</v>
      </c>
      <c r="AE335">
        <v>1.6991</v>
      </c>
      <c r="AF335">
        <v>1.0432</v>
      </c>
      <c r="AG335">
        <v>0.1085</v>
      </c>
      <c r="AH335">
        <v>3.4742</v>
      </c>
      <c r="AI335">
        <v>0.2802</v>
      </c>
      <c r="AJ335">
        <v>0.5065</v>
      </c>
      <c r="AK335">
        <v>4.9431</v>
      </c>
      <c r="AL335">
        <v>80</v>
      </c>
      <c r="AM335" t="s">
        <v>413</v>
      </c>
    </row>
    <row r="336" spans="1:39" ht="12.75">
      <c r="A336" s="86">
        <v>41024</v>
      </c>
      <c r="B336">
        <v>0.1024</v>
      </c>
      <c r="C336">
        <v>3.1675</v>
      </c>
      <c r="D336">
        <v>3.2754</v>
      </c>
      <c r="E336">
        <v>0.4083</v>
      </c>
      <c r="F336">
        <v>3.2135</v>
      </c>
      <c r="G336">
        <v>2.576</v>
      </c>
      <c r="H336">
        <v>2.5435</v>
      </c>
      <c r="I336">
        <v>4.187</v>
      </c>
      <c r="J336">
        <v>1.4332</v>
      </c>
      <c r="K336">
        <v>3.4841</v>
      </c>
      <c r="L336">
        <v>5.0952</v>
      </c>
      <c r="M336">
        <v>0.3952</v>
      </c>
      <c r="N336">
        <v>3.9018</v>
      </c>
      <c r="O336">
        <v>0.1681</v>
      </c>
      <c r="P336">
        <v>0.5627</v>
      </c>
      <c r="R336">
        <v>2.5128</v>
      </c>
      <c r="S336">
        <v>0.5534</v>
      </c>
      <c r="U336">
        <v>0.4712</v>
      </c>
      <c r="V336">
        <v>0.5556</v>
      </c>
      <c r="W336">
        <v>0.9562</v>
      </c>
      <c r="X336">
        <v>2.1408</v>
      </c>
      <c r="Y336">
        <v>1.7829</v>
      </c>
      <c r="Z336">
        <v>1.2126</v>
      </c>
      <c r="AA336">
        <v>5.9883</v>
      </c>
      <c r="AB336">
        <v>0.0742</v>
      </c>
      <c r="AC336">
        <v>0.2413</v>
      </c>
      <c r="AD336">
        <v>0.408</v>
      </c>
      <c r="AE336">
        <v>1.6867</v>
      </c>
      <c r="AF336">
        <v>1.035</v>
      </c>
      <c r="AG336">
        <v>0.1082</v>
      </c>
      <c r="AH336">
        <v>3.4451</v>
      </c>
      <c r="AI336">
        <v>0.278</v>
      </c>
      <c r="AJ336">
        <v>0.5025</v>
      </c>
      <c r="AK336">
        <v>4.9152</v>
      </c>
      <c r="AL336">
        <v>81</v>
      </c>
      <c r="AM336" t="s">
        <v>413</v>
      </c>
    </row>
    <row r="337" spans="1:39" ht="12.75">
      <c r="A337" s="86">
        <v>41025</v>
      </c>
      <c r="B337">
        <v>0.1023</v>
      </c>
      <c r="C337">
        <v>3.1599</v>
      </c>
      <c r="D337">
        <v>3.279</v>
      </c>
      <c r="E337">
        <v>0.4073</v>
      </c>
      <c r="F337">
        <v>3.2176</v>
      </c>
      <c r="G337">
        <v>2.5844</v>
      </c>
      <c r="H337">
        <v>2.545</v>
      </c>
      <c r="I337">
        <v>4.1825</v>
      </c>
      <c r="J337">
        <v>1.456</v>
      </c>
      <c r="K337">
        <v>3.4809</v>
      </c>
      <c r="L337">
        <v>5.1171</v>
      </c>
      <c r="M337">
        <v>0.3942</v>
      </c>
      <c r="N337">
        <v>3.8952</v>
      </c>
      <c r="O337">
        <v>0.1689</v>
      </c>
      <c r="P337">
        <v>0.5622</v>
      </c>
      <c r="R337">
        <v>2.5113</v>
      </c>
      <c r="S337">
        <v>0.5526</v>
      </c>
      <c r="U337">
        <v>0.4714</v>
      </c>
      <c r="V337">
        <v>0.5552</v>
      </c>
      <c r="W337">
        <v>0.9557</v>
      </c>
      <c r="X337">
        <v>2.1385</v>
      </c>
      <c r="Y337">
        <v>1.7905</v>
      </c>
      <c r="Z337">
        <v>1.2113</v>
      </c>
      <c r="AA337">
        <v>5.9767</v>
      </c>
      <c r="AB337">
        <v>0.0743</v>
      </c>
      <c r="AC337">
        <v>0.2403</v>
      </c>
      <c r="AD337">
        <v>0.4076</v>
      </c>
      <c r="AE337">
        <v>1.6797</v>
      </c>
      <c r="AF337">
        <v>1.0357</v>
      </c>
      <c r="AG337">
        <v>0.1079</v>
      </c>
      <c r="AH337">
        <v>3.4361</v>
      </c>
      <c r="AI337">
        <v>0.2784</v>
      </c>
      <c r="AJ337">
        <v>0.5011</v>
      </c>
      <c r="AK337">
        <v>4.8983</v>
      </c>
      <c r="AL337">
        <v>82</v>
      </c>
      <c r="AM337" t="s">
        <v>413</v>
      </c>
    </row>
    <row r="338" spans="1:39" ht="12.75">
      <c r="A338" s="86">
        <v>41026</v>
      </c>
      <c r="B338">
        <v>0.103</v>
      </c>
      <c r="C338">
        <v>3.1666</v>
      </c>
      <c r="D338">
        <v>3.2914</v>
      </c>
      <c r="E338">
        <v>0.408</v>
      </c>
      <c r="F338">
        <v>3.2179</v>
      </c>
      <c r="G338">
        <v>2.5795</v>
      </c>
      <c r="H338">
        <v>2.5505</v>
      </c>
      <c r="I338">
        <v>4.182</v>
      </c>
      <c r="J338">
        <v>1.454</v>
      </c>
      <c r="K338">
        <v>3.482</v>
      </c>
      <c r="L338">
        <v>5.1244</v>
      </c>
      <c r="M338">
        <v>0.3951</v>
      </c>
      <c r="N338">
        <v>3.9295</v>
      </c>
      <c r="O338">
        <v>0.1686</v>
      </c>
      <c r="P338">
        <v>0.5622</v>
      </c>
      <c r="R338">
        <v>2.5154</v>
      </c>
      <c r="S338">
        <v>0.5526</v>
      </c>
      <c r="U338">
        <v>0.4706</v>
      </c>
      <c r="V338">
        <v>0.5565</v>
      </c>
      <c r="W338">
        <v>0.9556</v>
      </c>
      <c r="X338">
        <v>2.1383</v>
      </c>
      <c r="Y338">
        <v>1.7945</v>
      </c>
      <c r="Z338">
        <v>1.2112</v>
      </c>
      <c r="AA338">
        <v>5.9786</v>
      </c>
      <c r="AB338">
        <v>0.0748</v>
      </c>
      <c r="AC338">
        <v>0.2397</v>
      </c>
      <c r="AD338">
        <v>0.4062</v>
      </c>
      <c r="AE338">
        <v>1.6788</v>
      </c>
      <c r="AF338">
        <v>1.0393</v>
      </c>
      <c r="AG338">
        <v>0.1076</v>
      </c>
      <c r="AH338">
        <v>3.4449</v>
      </c>
      <c r="AI338">
        <v>0.2794</v>
      </c>
      <c r="AJ338">
        <v>0.5018</v>
      </c>
      <c r="AK338">
        <v>4.8989</v>
      </c>
      <c r="AL338">
        <v>83</v>
      </c>
      <c r="AM338" t="s">
        <v>413</v>
      </c>
    </row>
    <row r="339" spans="1:39" ht="12.75">
      <c r="A339" s="86">
        <v>41029</v>
      </c>
      <c r="B339" s="301">
        <v>0.1027</v>
      </c>
      <c r="C339" s="301">
        <v>3.1509</v>
      </c>
      <c r="D339" s="301">
        <v>3.2911</v>
      </c>
      <c r="E339" s="301">
        <v>0.4061</v>
      </c>
      <c r="F339" s="301">
        <v>3.2104</v>
      </c>
      <c r="G339" s="301">
        <v>2.5871</v>
      </c>
      <c r="H339" s="301">
        <v>2.5511</v>
      </c>
      <c r="I339" s="301">
        <v>4.1721</v>
      </c>
      <c r="J339" s="301">
        <v>1.4591</v>
      </c>
      <c r="K339" s="301">
        <v>3.4731</v>
      </c>
      <c r="L339" s="301">
        <v>5.1295</v>
      </c>
      <c r="M339" s="301">
        <v>0.3927</v>
      </c>
      <c r="N339" s="301">
        <v>3.9313</v>
      </c>
      <c r="O339" s="301">
        <v>0.1683</v>
      </c>
      <c r="P339" s="301">
        <v>0.5609</v>
      </c>
      <c r="R339" s="301">
        <v>2.5089</v>
      </c>
      <c r="S339" s="301">
        <v>0.5505</v>
      </c>
      <c r="U339" s="301">
        <v>0.4682</v>
      </c>
      <c r="V339" s="301">
        <v>0.5559</v>
      </c>
      <c r="W339" s="301">
        <v>0.949</v>
      </c>
      <c r="X339" s="301">
        <v>2.1332</v>
      </c>
      <c r="Y339" s="301">
        <v>1.7931</v>
      </c>
      <c r="Z339" s="301">
        <v>1.2083</v>
      </c>
      <c r="AA339" s="301">
        <v>5.9653</v>
      </c>
      <c r="AB339" s="301">
        <v>0.0747</v>
      </c>
      <c r="AC339" s="301">
        <v>0.243</v>
      </c>
      <c r="AD339" s="301">
        <v>0.4068</v>
      </c>
      <c r="AE339" s="301">
        <v>1.6709</v>
      </c>
      <c r="AF339" s="301">
        <v>1.0414</v>
      </c>
      <c r="AG339" s="301">
        <v>0.1073</v>
      </c>
      <c r="AH339" s="301">
        <v>3.4294</v>
      </c>
      <c r="AI339" s="301">
        <v>0.2793</v>
      </c>
      <c r="AJ339" s="301">
        <v>0.4994</v>
      </c>
      <c r="AK339" s="301">
        <v>4.8865</v>
      </c>
      <c r="AL339">
        <v>84</v>
      </c>
      <c r="AM339" t="s">
        <v>413</v>
      </c>
    </row>
    <row r="340" spans="1:39" ht="12.75">
      <c r="A340" s="86">
        <v>41031</v>
      </c>
      <c r="B340" s="301">
        <v>0.1026</v>
      </c>
      <c r="C340" s="301">
        <v>3.1593</v>
      </c>
      <c r="D340" s="301">
        <v>3.2654</v>
      </c>
      <c r="E340" s="301">
        <v>0.4073</v>
      </c>
      <c r="F340" s="301">
        <v>3.2032</v>
      </c>
      <c r="G340" s="301">
        <v>2.571</v>
      </c>
      <c r="H340" s="301">
        <v>2.5488</v>
      </c>
      <c r="I340" s="301">
        <v>4.16</v>
      </c>
      <c r="J340" s="301">
        <v>1.4653</v>
      </c>
      <c r="K340" s="301">
        <v>3.4625</v>
      </c>
      <c r="L340" s="301">
        <v>5.1228</v>
      </c>
      <c r="M340" s="301">
        <v>0.3916</v>
      </c>
      <c r="N340" s="301">
        <v>3.9346</v>
      </c>
      <c r="O340" s="301">
        <v>0.167</v>
      </c>
      <c r="P340" s="301">
        <v>0.5593</v>
      </c>
      <c r="R340" s="301">
        <v>2.5139</v>
      </c>
      <c r="S340" s="301">
        <v>0.5496</v>
      </c>
      <c r="U340" s="301">
        <v>0.4681</v>
      </c>
      <c r="V340" s="301">
        <v>0.5546</v>
      </c>
      <c r="W340" s="301">
        <v>0.9416</v>
      </c>
      <c r="X340" s="301">
        <v>2.127</v>
      </c>
      <c r="Y340" s="301">
        <v>1.7943</v>
      </c>
      <c r="Z340" s="301">
        <v>1.2048</v>
      </c>
      <c r="AA340" s="301">
        <v>5.9488</v>
      </c>
      <c r="AB340" s="301">
        <v>0.0748</v>
      </c>
      <c r="AC340" s="301">
        <v>0.2443</v>
      </c>
      <c r="AD340" s="301">
        <v>0.4086</v>
      </c>
      <c r="AE340" s="301">
        <v>1.6564</v>
      </c>
      <c r="AF340" s="301">
        <v>1.0432</v>
      </c>
      <c r="AG340" s="301">
        <v>0.1074</v>
      </c>
      <c r="AH340" s="301">
        <v>3.4227</v>
      </c>
      <c r="AI340" s="301">
        <v>0.2799</v>
      </c>
      <c r="AJ340" s="301">
        <v>0.5009</v>
      </c>
      <c r="AK340" s="301">
        <v>4.8814</v>
      </c>
      <c r="AL340">
        <v>85</v>
      </c>
      <c r="AM340" t="s">
        <v>413</v>
      </c>
    </row>
    <row r="341" spans="1:39" ht="12.75">
      <c r="A341" s="86">
        <v>41033</v>
      </c>
      <c r="B341" s="301">
        <v>0.103</v>
      </c>
      <c r="C341" s="301">
        <v>3.1891</v>
      </c>
      <c r="D341" s="301">
        <v>3.2677</v>
      </c>
      <c r="E341" s="301">
        <v>0.4109</v>
      </c>
      <c r="F341" s="301">
        <v>3.2238</v>
      </c>
      <c r="G341" s="301">
        <v>2.5472</v>
      </c>
      <c r="H341" s="301">
        <v>2.5683</v>
      </c>
      <c r="I341" s="301">
        <v>4.188</v>
      </c>
      <c r="J341" s="301">
        <v>1.4698</v>
      </c>
      <c r="K341" s="301">
        <v>3.4861</v>
      </c>
      <c r="L341" s="301">
        <v>5.1557</v>
      </c>
      <c r="M341" s="301">
        <v>0.3977</v>
      </c>
      <c r="N341" s="301">
        <v>3.98</v>
      </c>
      <c r="O341" s="301">
        <v>0.1676</v>
      </c>
      <c r="P341" s="301">
        <v>0.5631</v>
      </c>
      <c r="R341" s="301">
        <v>2.5718</v>
      </c>
      <c r="S341" s="301">
        <v>0.5544</v>
      </c>
      <c r="U341" s="301">
        <v>0.4704</v>
      </c>
      <c r="V341" s="301">
        <v>0.5585</v>
      </c>
      <c r="W341" s="301">
        <v>0.9501</v>
      </c>
      <c r="X341" s="301">
        <v>2.1413</v>
      </c>
      <c r="Y341" s="301">
        <v>1.817</v>
      </c>
      <c r="Z341" s="301">
        <v>1.2129</v>
      </c>
      <c r="AA341" s="301">
        <v>5.9914</v>
      </c>
      <c r="AB341" s="301">
        <v>0.0753</v>
      </c>
      <c r="AC341" s="301">
        <v>0.2452</v>
      </c>
      <c r="AD341" s="301">
        <v>0.4119</v>
      </c>
      <c r="AE341" s="301">
        <v>1.671</v>
      </c>
      <c r="AF341" s="301">
        <v>1.0483</v>
      </c>
      <c r="AG341" s="301">
        <v>0.1078</v>
      </c>
      <c r="AH341" s="301">
        <v>3.4568</v>
      </c>
      <c r="AI341" s="301">
        <v>0.2815</v>
      </c>
      <c r="AJ341" s="301">
        <v>0.5057</v>
      </c>
      <c r="AK341" s="301">
        <v>4.933</v>
      </c>
      <c r="AL341">
        <v>86</v>
      </c>
      <c r="AM341" t="s">
        <v>413</v>
      </c>
    </row>
    <row r="342" spans="1:39" ht="12.75">
      <c r="A342" s="86">
        <v>41036</v>
      </c>
      <c r="B342" s="301">
        <v>0.1041</v>
      </c>
      <c r="C342" s="301">
        <v>3.2279</v>
      </c>
      <c r="D342" s="301">
        <v>3.2804</v>
      </c>
      <c r="E342" s="301">
        <v>0.4158</v>
      </c>
      <c r="F342" s="301">
        <v>3.2373</v>
      </c>
      <c r="G342" s="301">
        <v>2.5617</v>
      </c>
      <c r="H342" s="301">
        <v>2.5866</v>
      </c>
      <c r="I342" s="301">
        <v>4.1991</v>
      </c>
      <c r="J342" s="301">
        <v>1.4649</v>
      </c>
      <c r="K342" s="301">
        <v>3.4959</v>
      </c>
      <c r="L342" s="301">
        <v>5.2104</v>
      </c>
      <c r="M342" s="301">
        <v>0.4028</v>
      </c>
      <c r="N342" s="301">
        <v>4.0467</v>
      </c>
      <c r="O342" s="301">
        <v>0.1675</v>
      </c>
      <c r="P342" s="301">
        <v>0.5646</v>
      </c>
      <c r="R342" s="301">
        <v>2.5817</v>
      </c>
      <c r="S342" s="301">
        <v>0.5546</v>
      </c>
      <c r="U342" s="301">
        <v>0.4709</v>
      </c>
      <c r="V342" s="301">
        <v>0.5595</v>
      </c>
      <c r="W342" s="301">
        <v>0.9531</v>
      </c>
      <c r="X342" s="301">
        <v>2.147</v>
      </c>
      <c r="Y342" s="301">
        <v>1.8275</v>
      </c>
      <c r="Z342" s="301">
        <v>1.2161</v>
      </c>
      <c r="AA342" s="301">
        <v>6.0073</v>
      </c>
      <c r="AB342" s="301">
        <v>0.0761</v>
      </c>
      <c r="AC342" s="301">
        <v>0.244</v>
      </c>
      <c r="AD342" s="301">
        <v>0.4113</v>
      </c>
      <c r="AE342" s="301">
        <v>1.6743</v>
      </c>
      <c r="AF342" s="301">
        <v>1.0566</v>
      </c>
      <c r="AG342" s="301">
        <v>0.1077</v>
      </c>
      <c r="AH342" s="301">
        <v>3.4791</v>
      </c>
      <c r="AI342" s="301">
        <v>0.2837</v>
      </c>
      <c r="AJ342" s="301">
        <v>0.5116</v>
      </c>
      <c r="AK342" s="301">
        <v>4.9433</v>
      </c>
      <c r="AL342">
        <v>87</v>
      </c>
      <c r="AM342" t="s">
        <v>413</v>
      </c>
    </row>
    <row r="343" spans="1:39" ht="12.75">
      <c r="A343" s="86">
        <v>41037</v>
      </c>
      <c r="B343" s="301">
        <v>0.1041</v>
      </c>
      <c r="C343" s="301">
        <v>3.2238</v>
      </c>
      <c r="D343" s="301">
        <v>3.2683</v>
      </c>
      <c r="E343" s="301">
        <v>0.4153</v>
      </c>
      <c r="F343" s="301">
        <v>3.2321</v>
      </c>
      <c r="G343" s="301">
        <v>2.5449</v>
      </c>
      <c r="H343" s="301">
        <v>2.5838</v>
      </c>
      <c r="I343" s="301">
        <v>4.1949</v>
      </c>
      <c r="J343" s="301">
        <v>1.4606</v>
      </c>
      <c r="K343" s="301">
        <v>3.493</v>
      </c>
      <c r="L343" s="301">
        <v>5.201</v>
      </c>
      <c r="M343" s="301">
        <v>0.4021</v>
      </c>
      <c r="N343" s="301">
        <v>4.0357</v>
      </c>
      <c r="O343" s="301">
        <v>0.1673</v>
      </c>
      <c r="P343" s="301">
        <v>0.5641</v>
      </c>
      <c r="R343" s="301">
        <v>2.5799</v>
      </c>
      <c r="S343" s="301">
        <v>0.5548</v>
      </c>
      <c r="U343" s="301">
        <v>0.4717</v>
      </c>
      <c r="V343" s="301">
        <v>0.5586</v>
      </c>
      <c r="W343" s="301">
        <v>0.9529</v>
      </c>
      <c r="X343" s="301">
        <v>2.1449</v>
      </c>
      <c r="Y343" s="301">
        <v>1.8262</v>
      </c>
      <c r="Z343" s="301">
        <v>1.2149</v>
      </c>
      <c r="AA343" s="301">
        <v>6.0013</v>
      </c>
      <c r="AB343" s="301">
        <v>0.0762</v>
      </c>
      <c r="AC343" s="301">
        <v>0.2437</v>
      </c>
      <c r="AD343" s="301">
        <v>0.4103</v>
      </c>
      <c r="AE343" s="301">
        <v>1.678</v>
      </c>
      <c r="AF343" s="301">
        <v>1.0543</v>
      </c>
      <c r="AG343" s="301">
        <v>0.1073</v>
      </c>
      <c r="AH343" s="301">
        <v>3.4807</v>
      </c>
      <c r="AI343" s="301">
        <v>0.2834</v>
      </c>
      <c r="AJ343" s="301">
        <v>0.5109</v>
      </c>
      <c r="AK343" s="301">
        <v>4.9673</v>
      </c>
      <c r="AL343">
        <v>88</v>
      </c>
      <c r="AM343" t="s">
        <v>413</v>
      </c>
    </row>
    <row r="344" spans="1:39" ht="12.75">
      <c r="A344" s="86">
        <v>41038</v>
      </c>
      <c r="B344" s="301">
        <v>0.1043</v>
      </c>
      <c r="C344" s="301">
        <v>3.2412</v>
      </c>
      <c r="D344" s="301">
        <v>3.2619</v>
      </c>
      <c r="E344" s="301">
        <v>0.4176</v>
      </c>
      <c r="F344" s="301">
        <v>3.234</v>
      </c>
      <c r="G344" s="301">
        <v>2.5444</v>
      </c>
      <c r="H344" s="301">
        <v>2.5924</v>
      </c>
      <c r="I344" s="301">
        <v>4.2047</v>
      </c>
      <c r="J344" s="301">
        <v>1.4584</v>
      </c>
      <c r="K344" s="301">
        <v>3.5014</v>
      </c>
      <c r="L344" s="301">
        <v>5.2297</v>
      </c>
      <c r="M344" s="301">
        <v>0.4026</v>
      </c>
      <c r="N344" s="301">
        <v>4.0686</v>
      </c>
      <c r="O344" s="301">
        <v>0.1671</v>
      </c>
      <c r="P344" s="301">
        <v>0.5655</v>
      </c>
      <c r="R344" s="301">
        <v>2.5901</v>
      </c>
      <c r="S344" s="301">
        <v>0.5547</v>
      </c>
      <c r="U344" s="301">
        <v>0.4718</v>
      </c>
      <c r="V344" s="301">
        <v>0.5601</v>
      </c>
      <c r="W344" s="301">
        <v>0.9534</v>
      </c>
      <c r="X344" s="301">
        <v>2.1499</v>
      </c>
      <c r="Y344" s="301">
        <v>1.8161</v>
      </c>
      <c r="Z344" s="301">
        <v>1.2177</v>
      </c>
      <c r="AA344" s="301">
        <v>6.0205</v>
      </c>
      <c r="AB344" s="301">
        <v>0.0762</v>
      </c>
      <c r="AC344" s="301">
        <v>0.2416</v>
      </c>
      <c r="AD344" s="301">
        <v>0.4067</v>
      </c>
      <c r="AE344" s="301">
        <v>1.67</v>
      </c>
      <c r="AF344" s="301">
        <v>1.0561</v>
      </c>
      <c r="AG344" s="301">
        <v>0.1072</v>
      </c>
      <c r="AH344" s="301">
        <v>3.5021</v>
      </c>
      <c r="AI344" s="301">
        <v>0.2839</v>
      </c>
      <c r="AJ344" s="301">
        <v>0.5137</v>
      </c>
      <c r="AK344" s="301">
        <v>4.9773</v>
      </c>
      <c r="AL344">
        <v>89</v>
      </c>
      <c r="AM344" t="s">
        <v>413</v>
      </c>
    </row>
    <row r="345" spans="1:39" ht="12.75">
      <c r="A345" s="86">
        <v>41039</v>
      </c>
      <c r="B345" s="301">
        <v>0.1052</v>
      </c>
      <c r="C345" s="301">
        <v>3.2735</v>
      </c>
      <c r="D345" s="301">
        <v>3.3053</v>
      </c>
      <c r="E345" s="301">
        <v>0.4217</v>
      </c>
      <c r="F345" s="301">
        <v>3.2668</v>
      </c>
      <c r="G345" s="301">
        <v>2.576</v>
      </c>
      <c r="H345" s="301">
        <v>2.6189</v>
      </c>
      <c r="I345" s="301">
        <v>4.2379</v>
      </c>
      <c r="J345" s="301">
        <v>1.4634</v>
      </c>
      <c r="K345" s="301">
        <v>3.5286</v>
      </c>
      <c r="L345" s="301">
        <v>5.2697</v>
      </c>
      <c r="M345" s="301">
        <v>0.4083</v>
      </c>
      <c r="N345" s="301">
        <v>4.1087</v>
      </c>
      <c r="O345" s="301">
        <v>0.1679</v>
      </c>
      <c r="P345" s="301">
        <v>0.5701</v>
      </c>
      <c r="R345" s="301">
        <v>2.6053</v>
      </c>
      <c r="S345" s="301">
        <v>0.5598</v>
      </c>
      <c r="U345" s="301">
        <v>0.4741</v>
      </c>
      <c r="V345" s="301">
        <v>0.5647</v>
      </c>
      <c r="W345" s="301">
        <v>0.9574</v>
      </c>
      <c r="X345" s="301">
        <v>2.1668</v>
      </c>
      <c r="Y345" s="301">
        <v>1.8283</v>
      </c>
      <c r="Z345" s="301">
        <v>1.2274</v>
      </c>
      <c r="AA345" s="301">
        <v>6.0706</v>
      </c>
      <c r="AB345" s="301">
        <v>0.0771</v>
      </c>
      <c r="AC345" s="301">
        <v>0.2425</v>
      </c>
      <c r="AD345" s="301">
        <v>0.4082</v>
      </c>
      <c r="AE345" s="301">
        <v>1.6607</v>
      </c>
      <c r="AF345" s="301">
        <v>1.067</v>
      </c>
      <c r="AG345" s="301">
        <v>0.1084</v>
      </c>
      <c r="AH345" s="301">
        <v>3.5312</v>
      </c>
      <c r="AI345" s="301">
        <v>0.2865</v>
      </c>
      <c r="AJ345" s="301">
        <v>0.5184</v>
      </c>
      <c r="AK345" s="301">
        <v>5.039</v>
      </c>
      <c r="AL345">
        <v>90</v>
      </c>
      <c r="AM345" t="s">
        <v>413</v>
      </c>
    </row>
    <row r="346" spans="1:39" ht="12.75">
      <c r="A346" s="86">
        <v>41040</v>
      </c>
      <c r="B346" s="301">
        <v>0.1051</v>
      </c>
      <c r="C346" s="301">
        <v>3.2765</v>
      </c>
      <c r="D346" s="301">
        <v>3.2922</v>
      </c>
      <c r="E346" s="301">
        <v>0.4221</v>
      </c>
      <c r="F346" s="301">
        <v>3.2643</v>
      </c>
      <c r="G346" s="301">
        <v>2.568</v>
      </c>
      <c r="H346" s="301">
        <v>2.6203</v>
      </c>
      <c r="I346" s="301">
        <v>4.2413</v>
      </c>
      <c r="J346" s="301">
        <v>1.4657</v>
      </c>
      <c r="K346" s="301">
        <v>3.5313</v>
      </c>
      <c r="L346" s="301">
        <v>5.2838</v>
      </c>
      <c r="M346" s="301">
        <v>0.4087</v>
      </c>
      <c r="N346" s="301">
        <v>4.101</v>
      </c>
      <c r="O346" s="301">
        <v>0.1682</v>
      </c>
      <c r="P346" s="301">
        <v>0.5706</v>
      </c>
      <c r="R346" s="301">
        <v>2.6076</v>
      </c>
      <c r="S346" s="301">
        <v>0.5579</v>
      </c>
      <c r="U346" s="301">
        <v>0.4712</v>
      </c>
      <c r="V346" s="301">
        <v>0.5653</v>
      </c>
      <c r="W346" s="301">
        <v>0.9584</v>
      </c>
      <c r="X346" s="301">
        <v>2.1686</v>
      </c>
      <c r="Y346" s="301">
        <v>1.8342</v>
      </c>
      <c r="Z346" s="301">
        <v>1.2283</v>
      </c>
      <c r="AA346" s="301">
        <v>6.0807</v>
      </c>
      <c r="AB346" s="301">
        <v>0.077</v>
      </c>
      <c r="AC346" s="301">
        <v>0.2421</v>
      </c>
      <c r="AD346" s="301">
        <v>0.4056</v>
      </c>
      <c r="AE346" s="301">
        <v>1.6784</v>
      </c>
      <c r="AF346" s="301">
        <v>1.0674</v>
      </c>
      <c r="AG346" s="301">
        <v>0.1087</v>
      </c>
      <c r="AH346" s="301">
        <v>3.5344</v>
      </c>
      <c r="AI346" s="301">
        <v>0.2857</v>
      </c>
      <c r="AJ346" s="301">
        <v>0.5194</v>
      </c>
      <c r="AK346" s="301">
        <v>5.0335</v>
      </c>
      <c r="AL346">
        <v>91</v>
      </c>
      <c r="AM346" t="s">
        <v>413</v>
      </c>
    </row>
    <row r="347" spans="1:39" ht="12.75">
      <c r="A347" s="86">
        <v>41043</v>
      </c>
      <c r="B347" s="301">
        <v>0.1068</v>
      </c>
      <c r="C347" s="301">
        <v>3.3422</v>
      </c>
      <c r="D347" s="301">
        <v>3.33</v>
      </c>
      <c r="E347" s="301">
        <v>0.4304</v>
      </c>
      <c r="F347" s="301">
        <v>3.3262</v>
      </c>
      <c r="G347" s="301">
        <v>2.5956</v>
      </c>
      <c r="H347" s="301">
        <v>2.6557</v>
      </c>
      <c r="I347" s="301">
        <v>4.3</v>
      </c>
      <c r="J347" s="301">
        <v>1.4706</v>
      </c>
      <c r="K347" s="301">
        <v>3.5808</v>
      </c>
      <c r="L347" s="301">
        <v>5.3676</v>
      </c>
      <c r="M347" s="301">
        <v>0.4168</v>
      </c>
      <c r="N347" s="301">
        <v>4.1725</v>
      </c>
      <c r="O347" s="301">
        <v>0.1697</v>
      </c>
      <c r="P347" s="301">
        <v>0.5785</v>
      </c>
      <c r="R347" s="301">
        <v>2.638</v>
      </c>
      <c r="S347" s="301">
        <v>0.5654</v>
      </c>
      <c r="U347" s="301">
        <v>0.4772</v>
      </c>
      <c r="V347" s="301">
        <v>0.5731</v>
      </c>
      <c r="W347" s="301">
        <v>0.9698</v>
      </c>
      <c r="X347" s="301">
        <v>2.1986</v>
      </c>
      <c r="Y347" s="301">
        <v>1.8467</v>
      </c>
      <c r="Z347" s="301">
        <v>1.2453</v>
      </c>
      <c r="AA347" s="301">
        <v>6.1649</v>
      </c>
      <c r="AB347" s="301">
        <v>0.0782</v>
      </c>
      <c r="AC347" s="301">
        <v>0.2448</v>
      </c>
      <c r="AD347" s="301">
        <v>0.4077</v>
      </c>
      <c r="AE347" s="301">
        <v>1.7</v>
      </c>
      <c r="AF347" s="301">
        <v>1.0842</v>
      </c>
      <c r="AG347" s="301">
        <v>0.1101</v>
      </c>
      <c r="AH347" s="301">
        <v>3.6053</v>
      </c>
      <c r="AI347" s="301">
        <v>0.2896</v>
      </c>
      <c r="AJ347" s="301">
        <v>0.5287</v>
      </c>
      <c r="AK347" s="301">
        <v>5.106</v>
      </c>
      <c r="AL347">
        <v>92</v>
      </c>
      <c r="AM347" t="s">
        <v>413</v>
      </c>
    </row>
    <row r="348" spans="1:39" ht="12.75">
      <c r="A348" s="86">
        <v>41044</v>
      </c>
      <c r="B348" s="301">
        <v>0.1073</v>
      </c>
      <c r="C348" s="301">
        <v>3.3579</v>
      </c>
      <c r="D348" s="301">
        <v>3.356</v>
      </c>
      <c r="E348" s="301">
        <v>0.4325</v>
      </c>
      <c r="F348" s="301">
        <v>3.353</v>
      </c>
      <c r="G348" s="301">
        <v>2.606</v>
      </c>
      <c r="H348" s="301">
        <v>2.6735</v>
      </c>
      <c r="I348" s="301">
        <v>4.316</v>
      </c>
      <c r="J348" s="301">
        <v>1.4766</v>
      </c>
      <c r="K348" s="301">
        <v>3.5932</v>
      </c>
      <c r="L348" s="301">
        <v>5.397</v>
      </c>
      <c r="M348" s="301">
        <v>0.4188</v>
      </c>
      <c r="N348" s="301">
        <v>4.2023</v>
      </c>
      <c r="O348" s="301">
        <v>0.1698</v>
      </c>
      <c r="P348" s="301">
        <v>0.5806</v>
      </c>
      <c r="R348" s="301">
        <v>2.6498</v>
      </c>
      <c r="S348" s="301">
        <v>0.5658</v>
      </c>
      <c r="U348" s="301">
        <v>0.4776</v>
      </c>
      <c r="V348" s="301">
        <v>0.5731</v>
      </c>
      <c r="W348" s="301">
        <v>0.9717</v>
      </c>
      <c r="X348" s="301">
        <v>2.2068</v>
      </c>
      <c r="Y348" s="301">
        <v>1.8602</v>
      </c>
      <c r="Z348" s="301">
        <v>1.25</v>
      </c>
      <c r="AA348" s="301">
        <v>6.1905</v>
      </c>
      <c r="AB348" s="301">
        <v>0.0787</v>
      </c>
      <c r="AC348" s="301">
        <v>0.2454</v>
      </c>
      <c r="AD348" s="301">
        <v>0.4106</v>
      </c>
      <c r="AE348" s="301">
        <v>1.6829</v>
      </c>
      <c r="AF348" s="301">
        <v>1.0901</v>
      </c>
      <c r="AG348" s="301">
        <v>0.1107</v>
      </c>
      <c r="AH348" s="301">
        <v>3.6179</v>
      </c>
      <c r="AI348" s="301">
        <v>0.2912</v>
      </c>
      <c r="AJ348" s="301">
        <v>0.5317</v>
      </c>
      <c r="AK348" s="301">
        <v>5.1476</v>
      </c>
      <c r="AL348">
        <v>93</v>
      </c>
      <c r="AM348" t="s">
        <v>413</v>
      </c>
    </row>
    <row r="349" spans="1:39" ht="12.75">
      <c r="A349" s="86">
        <v>41045</v>
      </c>
      <c r="B349" s="301">
        <v>0.1094</v>
      </c>
      <c r="C349" s="301">
        <v>3.4353</v>
      </c>
      <c r="D349" s="301">
        <v>3.4043</v>
      </c>
      <c r="E349" s="301">
        <v>0.4428</v>
      </c>
      <c r="F349" s="301">
        <v>3.4</v>
      </c>
      <c r="G349" s="301">
        <v>2.6295</v>
      </c>
      <c r="H349" s="301">
        <v>2.7077</v>
      </c>
      <c r="I349" s="301">
        <v>4.3682</v>
      </c>
      <c r="J349" s="301">
        <v>1.4765</v>
      </c>
      <c r="K349" s="301">
        <v>3.6371</v>
      </c>
      <c r="L349" s="301">
        <v>5.4815</v>
      </c>
      <c r="M349" s="301">
        <v>0.4267</v>
      </c>
      <c r="N349" s="301">
        <v>4.2752</v>
      </c>
      <c r="O349" s="301">
        <v>0.1703</v>
      </c>
      <c r="P349" s="301">
        <v>0.5876</v>
      </c>
      <c r="R349" s="301">
        <v>2.69</v>
      </c>
      <c r="S349" s="301">
        <v>0.5717</v>
      </c>
      <c r="U349" s="301">
        <v>0.4785</v>
      </c>
      <c r="V349" s="301">
        <v>0.5788</v>
      </c>
      <c r="W349" s="301">
        <v>0.9822</v>
      </c>
      <c r="X349" s="301">
        <v>2.2335</v>
      </c>
      <c r="Y349" s="301">
        <v>1.8786</v>
      </c>
      <c r="Z349" s="301">
        <v>1.2651</v>
      </c>
      <c r="AA349" s="301">
        <v>6.26</v>
      </c>
      <c r="AB349" s="301">
        <v>0.0799</v>
      </c>
      <c r="AC349" s="301">
        <v>0.2473</v>
      </c>
      <c r="AD349" s="301">
        <v>0.4116</v>
      </c>
      <c r="AE349" s="301">
        <v>1.7159</v>
      </c>
      <c r="AF349" s="301">
        <v>1.1027</v>
      </c>
      <c r="AG349" s="301">
        <v>0.1108</v>
      </c>
      <c r="AH349" s="301">
        <v>3.6644</v>
      </c>
      <c r="AI349" s="301">
        <v>0.2941</v>
      </c>
      <c r="AJ349" s="301">
        <v>0.5434</v>
      </c>
      <c r="AK349" s="301">
        <v>5.2145</v>
      </c>
      <c r="AL349">
        <v>94</v>
      </c>
      <c r="AM349" t="s">
        <v>413</v>
      </c>
    </row>
    <row r="350" spans="1:39" ht="12.75">
      <c r="A350" s="86">
        <v>41046</v>
      </c>
      <c r="B350" s="301">
        <v>0.1089</v>
      </c>
      <c r="C350" s="301">
        <v>3.4194</v>
      </c>
      <c r="D350" s="301">
        <v>3.3983</v>
      </c>
      <c r="E350" s="301">
        <v>0.4402</v>
      </c>
      <c r="F350" s="301">
        <v>3.3792</v>
      </c>
      <c r="G350" s="301">
        <v>2.6176</v>
      </c>
      <c r="H350" s="301">
        <v>2.7037</v>
      </c>
      <c r="I350" s="301">
        <v>4.349</v>
      </c>
      <c r="J350" s="301">
        <v>1.4684</v>
      </c>
      <c r="K350" s="301">
        <v>3.621</v>
      </c>
      <c r="L350" s="301">
        <v>5.4342</v>
      </c>
      <c r="M350" s="301">
        <v>0.4245</v>
      </c>
      <c r="N350" s="301">
        <v>4.2556</v>
      </c>
      <c r="O350" s="301">
        <v>0.1706</v>
      </c>
      <c r="P350" s="301">
        <v>0.5851</v>
      </c>
      <c r="R350" s="301">
        <v>2.6766</v>
      </c>
      <c r="S350" s="301">
        <v>0.574</v>
      </c>
      <c r="U350" s="301">
        <v>0.4772</v>
      </c>
      <c r="V350" s="301">
        <v>0.5758</v>
      </c>
      <c r="W350" s="301">
        <v>0.9785</v>
      </c>
      <c r="X350" s="301">
        <v>2.2236</v>
      </c>
      <c r="Y350" s="301">
        <v>1.8784</v>
      </c>
      <c r="Z350" s="301">
        <v>1.2595</v>
      </c>
      <c r="AA350" s="301">
        <v>6.2316</v>
      </c>
      <c r="AB350" s="301">
        <v>0.0796</v>
      </c>
      <c r="AC350" s="301">
        <v>0.2487</v>
      </c>
      <c r="AD350" s="301">
        <v>0.4127</v>
      </c>
      <c r="AE350" s="301">
        <v>1.7093</v>
      </c>
      <c r="AF350" s="301">
        <v>1.0994</v>
      </c>
      <c r="AG350" s="301">
        <v>0.1103</v>
      </c>
      <c r="AH350" s="301">
        <v>3.6483</v>
      </c>
      <c r="AI350" s="301">
        <v>0.2937</v>
      </c>
      <c r="AJ350" s="301">
        <v>0.5405</v>
      </c>
      <c r="AK350" s="301">
        <v>5.2058</v>
      </c>
      <c r="AL350">
        <v>95</v>
      </c>
      <c r="AM350" t="s">
        <v>413</v>
      </c>
    </row>
    <row r="351" spans="1:39" ht="12.75">
      <c r="A351" s="86">
        <v>41047</v>
      </c>
      <c r="B351" s="301">
        <v>0.1099</v>
      </c>
      <c r="C351" s="301">
        <v>3.4431</v>
      </c>
      <c r="D351" s="301">
        <v>3.3897</v>
      </c>
      <c r="E351" s="301">
        <v>0.4433</v>
      </c>
      <c r="F351" s="301">
        <v>3.381</v>
      </c>
      <c r="G351" s="301">
        <v>2.6088</v>
      </c>
      <c r="H351" s="301">
        <v>2.7033</v>
      </c>
      <c r="I351" s="301">
        <v>4.3683</v>
      </c>
      <c r="J351" s="301">
        <v>1.4614</v>
      </c>
      <c r="K351" s="301">
        <v>3.6371</v>
      </c>
      <c r="L351" s="301">
        <v>5.4356</v>
      </c>
      <c r="M351" s="301">
        <v>0.428</v>
      </c>
      <c r="N351" s="301">
        <v>4.3407</v>
      </c>
      <c r="O351" s="301">
        <v>0.1717</v>
      </c>
      <c r="P351" s="301">
        <v>0.5877</v>
      </c>
      <c r="R351" s="301">
        <v>2.6874</v>
      </c>
      <c r="S351" s="301">
        <v>0.5744</v>
      </c>
      <c r="U351" s="301">
        <v>0.4786</v>
      </c>
      <c r="V351" s="301">
        <v>0.5781</v>
      </c>
      <c r="W351" s="301">
        <v>0.9821</v>
      </c>
      <c r="X351" s="301">
        <v>2.2335</v>
      </c>
      <c r="Y351" s="301">
        <v>1.8772</v>
      </c>
      <c r="Z351" s="301">
        <v>1.2651</v>
      </c>
      <c r="AA351" s="301">
        <v>6.2592</v>
      </c>
      <c r="AB351" s="301">
        <v>0.0798</v>
      </c>
      <c r="AC351" s="301">
        <v>0.2488</v>
      </c>
      <c r="AD351" s="301">
        <v>0.4114</v>
      </c>
      <c r="AE351" s="301">
        <v>1.7136</v>
      </c>
      <c r="AF351" s="301">
        <v>1.0979</v>
      </c>
      <c r="AG351" s="301">
        <v>0.1097</v>
      </c>
      <c r="AH351" s="301">
        <v>3.6881</v>
      </c>
      <c r="AI351" s="301">
        <v>0.294</v>
      </c>
      <c r="AJ351" s="301">
        <v>0.544</v>
      </c>
      <c r="AK351" s="301">
        <v>5.2483</v>
      </c>
      <c r="AL351">
        <v>96</v>
      </c>
      <c r="AM351" t="s">
        <v>413</v>
      </c>
    </row>
    <row r="352" spans="1:39" ht="12.75">
      <c r="A352" s="86">
        <v>41050</v>
      </c>
      <c r="B352" s="301">
        <v>0.1085</v>
      </c>
      <c r="C352" s="301">
        <v>3.3928</v>
      </c>
      <c r="D352" s="301">
        <v>3.3421</v>
      </c>
      <c r="E352" s="301">
        <v>0.4369</v>
      </c>
      <c r="F352" s="301">
        <v>3.3275</v>
      </c>
      <c r="G352" s="301">
        <v>2.5725</v>
      </c>
      <c r="H352" s="301">
        <v>2.667</v>
      </c>
      <c r="I352" s="301">
        <v>4.3322</v>
      </c>
      <c r="J352" s="301">
        <v>1.4568</v>
      </c>
      <c r="K352" s="301">
        <v>3.607</v>
      </c>
      <c r="L352" s="301">
        <v>5.3656</v>
      </c>
      <c r="M352" s="301">
        <v>0.4212</v>
      </c>
      <c r="N352" s="301">
        <v>4.2718</v>
      </c>
      <c r="O352" s="301">
        <v>0.1718</v>
      </c>
      <c r="P352" s="301">
        <v>0.5828</v>
      </c>
      <c r="R352" s="301">
        <v>2.6651</v>
      </c>
      <c r="S352" s="301">
        <v>0.5686</v>
      </c>
      <c r="U352" s="301">
        <v>0.4749</v>
      </c>
      <c r="V352" s="301">
        <v>0.5732</v>
      </c>
      <c r="W352" s="301">
        <v>0.975</v>
      </c>
      <c r="X352" s="301">
        <v>2.2151</v>
      </c>
      <c r="Y352" s="301">
        <v>1.8543</v>
      </c>
      <c r="Z352" s="301">
        <v>1.2547</v>
      </c>
      <c r="AA352" s="301">
        <v>6.2093</v>
      </c>
      <c r="AB352" s="301">
        <v>0.0786</v>
      </c>
      <c r="AC352" s="301">
        <v>0.2462</v>
      </c>
      <c r="AD352" s="301">
        <v>0.4094</v>
      </c>
      <c r="AE352" s="301">
        <v>1.6764</v>
      </c>
      <c r="AF352" s="301">
        <v>1.0823</v>
      </c>
      <c r="AG352" s="301">
        <v>0.1088</v>
      </c>
      <c r="AH352" s="301">
        <v>3.6292</v>
      </c>
      <c r="AI352" s="301">
        <v>0.2904</v>
      </c>
      <c r="AJ352" s="301">
        <v>0.5361</v>
      </c>
      <c r="AK352" s="301">
        <v>5.1918</v>
      </c>
      <c r="AL352">
        <v>97</v>
      </c>
      <c r="AM352" t="s">
        <v>413</v>
      </c>
    </row>
    <row r="353" spans="1:39" ht="12.75">
      <c r="A353" s="86">
        <v>41051</v>
      </c>
      <c r="B353" s="301">
        <v>0.1079</v>
      </c>
      <c r="C353" s="301">
        <v>3.3811</v>
      </c>
      <c r="D353" s="301">
        <v>3.3483</v>
      </c>
      <c r="E353" s="301">
        <v>0.4354</v>
      </c>
      <c r="F353" s="301">
        <v>3.324</v>
      </c>
      <c r="G353" s="301">
        <v>2.5826</v>
      </c>
      <c r="H353" s="301">
        <v>2.6691</v>
      </c>
      <c r="I353" s="301">
        <v>4.3205</v>
      </c>
      <c r="J353" s="301">
        <v>1.4567</v>
      </c>
      <c r="K353" s="301">
        <v>3.5973</v>
      </c>
      <c r="L353" s="301">
        <v>5.3419</v>
      </c>
      <c r="M353" s="301">
        <v>0.4197</v>
      </c>
      <c r="N353" s="301">
        <v>4.247</v>
      </c>
      <c r="O353" s="301">
        <v>0.1717</v>
      </c>
      <c r="P353" s="301">
        <v>0.5813</v>
      </c>
      <c r="R353" s="301">
        <v>2.6612</v>
      </c>
      <c r="S353" s="301">
        <v>0.5701</v>
      </c>
      <c r="U353" s="301">
        <v>0.4752</v>
      </c>
      <c r="V353" s="301">
        <v>0.5724</v>
      </c>
      <c r="W353" s="301">
        <v>0.9718</v>
      </c>
      <c r="X353" s="301">
        <v>2.2091</v>
      </c>
      <c r="Y353" s="301">
        <v>1.8502</v>
      </c>
      <c r="Z353" s="301">
        <v>1.2513</v>
      </c>
      <c r="AA353" s="301">
        <v>6.1943</v>
      </c>
      <c r="AB353" s="301">
        <v>0.0784</v>
      </c>
      <c r="AC353" s="301">
        <v>0.2467</v>
      </c>
      <c r="AD353" s="301">
        <v>0.4094</v>
      </c>
      <c r="AE353" s="301">
        <v>1.6567</v>
      </c>
      <c r="AF353" s="301">
        <v>1.0839</v>
      </c>
      <c r="AG353" s="301">
        <v>0.1085</v>
      </c>
      <c r="AH353" s="301">
        <v>3.6194</v>
      </c>
      <c r="AI353" s="301">
        <v>0.2905</v>
      </c>
      <c r="AJ353" s="301">
        <v>0.5348</v>
      </c>
      <c r="AK353" s="301">
        <v>5.1786</v>
      </c>
      <c r="AL353">
        <v>98</v>
      </c>
      <c r="AM353" t="s">
        <v>413</v>
      </c>
    </row>
    <row r="354" spans="1:39" ht="12.75">
      <c r="A354" s="86">
        <v>41052</v>
      </c>
      <c r="B354" s="301">
        <v>0.1095</v>
      </c>
      <c r="C354" s="301">
        <v>3.446</v>
      </c>
      <c r="D354" s="301">
        <v>3.3574</v>
      </c>
      <c r="E354" s="301">
        <v>0.4436</v>
      </c>
      <c r="F354" s="301">
        <v>3.3705</v>
      </c>
      <c r="G354" s="301">
        <v>2.5769</v>
      </c>
      <c r="H354" s="301">
        <v>2.6959</v>
      </c>
      <c r="I354" s="301">
        <v>4.3576</v>
      </c>
      <c r="J354" s="301">
        <v>1.4428</v>
      </c>
      <c r="K354" s="301">
        <v>3.6285</v>
      </c>
      <c r="L354" s="301">
        <v>5.4122</v>
      </c>
      <c r="M354" s="301">
        <v>0.4272</v>
      </c>
      <c r="N354" s="301">
        <v>4.3379</v>
      </c>
      <c r="O354" s="301">
        <v>0.1715</v>
      </c>
      <c r="P354" s="301">
        <v>0.5864</v>
      </c>
      <c r="R354" s="301">
        <v>2.6927</v>
      </c>
      <c r="S354" s="301">
        <v>0.5748</v>
      </c>
      <c r="U354" s="301">
        <v>0.4802</v>
      </c>
      <c r="V354" s="301">
        <v>0.5755</v>
      </c>
      <c r="W354" s="301">
        <v>0.977</v>
      </c>
      <c r="X354" s="301">
        <v>2.228</v>
      </c>
      <c r="Y354" s="301">
        <v>1.8661</v>
      </c>
      <c r="Z354" s="301">
        <v>1.262</v>
      </c>
      <c r="AA354" s="301">
        <v>6.2457</v>
      </c>
      <c r="AB354" s="301">
        <v>0.0793</v>
      </c>
      <c r="AC354" s="301">
        <v>0.2468</v>
      </c>
      <c r="AD354" s="301">
        <v>0.4107</v>
      </c>
      <c r="AE354" s="301">
        <v>1.648</v>
      </c>
      <c r="AF354" s="301">
        <v>1.0954</v>
      </c>
      <c r="AG354" s="301">
        <v>0.1097</v>
      </c>
      <c r="AH354" s="301">
        <v>3.6505</v>
      </c>
      <c r="AI354" s="301">
        <v>0.2934</v>
      </c>
      <c r="AJ354" s="301">
        <v>0.544</v>
      </c>
      <c r="AK354" s="301">
        <v>5.2092</v>
      </c>
      <c r="AL354">
        <v>99</v>
      </c>
      <c r="AM354" t="s">
        <v>413</v>
      </c>
    </row>
    <row r="355" spans="1:39" ht="12.75">
      <c r="A355" s="86">
        <v>41053</v>
      </c>
      <c r="B355" s="301">
        <v>0.11</v>
      </c>
      <c r="C355" s="301">
        <v>3.4779</v>
      </c>
      <c r="D355" s="301">
        <v>3.384</v>
      </c>
      <c r="E355" s="301">
        <v>0.448</v>
      </c>
      <c r="F355" s="301">
        <v>3.3857</v>
      </c>
      <c r="G355" s="301">
        <v>2.6085</v>
      </c>
      <c r="H355" s="301">
        <v>2.7217</v>
      </c>
      <c r="I355" s="301">
        <v>4.3665</v>
      </c>
      <c r="J355" s="301">
        <v>1.4515</v>
      </c>
      <c r="K355" s="301">
        <v>3.6357</v>
      </c>
      <c r="L355" s="301">
        <v>5.4496</v>
      </c>
      <c r="M355" s="301">
        <v>0.4307</v>
      </c>
      <c r="N355" s="301">
        <v>4.3794</v>
      </c>
      <c r="O355" s="301">
        <v>0.1716</v>
      </c>
      <c r="P355" s="301">
        <v>0.5876</v>
      </c>
      <c r="R355" s="301">
        <v>2.6932</v>
      </c>
      <c r="S355" s="301">
        <v>0.5798</v>
      </c>
      <c r="U355" s="301">
        <v>0.4851</v>
      </c>
      <c r="V355" s="301">
        <v>0.5764</v>
      </c>
      <c r="W355" s="301">
        <v>0.9772</v>
      </c>
      <c r="X355" s="301">
        <v>2.2326</v>
      </c>
      <c r="Y355" s="301">
        <v>1.8788</v>
      </c>
      <c r="Z355" s="301">
        <v>1.2646</v>
      </c>
      <c r="AA355" s="301">
        <v>6.2557</v>
      </c>
      <c r="AB355" s="301">
        <v>0.0795</v>
      </c>
      <c r="AC355" s="301">
        <v>0.2486</v>
      </c>
      <c r="AD355" s="301">
        <v>0.414</v>
      </c>
      <c r="AE355" s="301">
        <v>1.7127</v>
      </c>
      <c r="AF355" s="301">
        <v>1.1025</v>
      </c>
      <c r="AG355" s="301">
        <v>0.1097</v>
      </c>
      <c r="AH355" s="301">
        <v>3.7136</v>
      </c>
      <c r="AI355" s="301">
        <v>0.2942</v>
      </c>
      <c r="AJ355" s="301">
        <v>0.5482</v>
      </c>
      <c r="AK355" s="301">
        <v>5.252</v>
      </c>
      <c r="AL355">
        <v>100</v>
      </c>
      <c r="AM355" t="s">
        <v>413</v>
      </c>
    </row>
    <row r="356" spans="1:39" ht="12.75">
      <c r="A356" s="86">
        <v>41054</v>
      </c>
      <c r="B356" s="301">
        <v>0.1092</v>
      </c>
      <c r="C356" s="301">
        <v>3.4589</v>
      </c>
      <c r="D356" s="301">
        <v>3.383</v>
      </c>
      <c r="E356" s="301">
        <v>0.4455</v>
      </c>
      <c r="F356" s="301">
        <v>3.3716</v>
      </c>
      <c r="G356" s="301">
        <v>2.6164</v>
      </c>
      <c r="H356" s="301">
        <v>2.7039</v>
      </c>
      <c r="I356" s="301">
        <v>4.351</v>
      </c>
      <c r="J356" s="301">
        <v>1.4522</v>
      </c>
      <c r="K356" s="301">
        <v>3.6206</v>
      </c>
      <c r="L356" s="301">
        <v>5.4178</v>
      </c>
      <c r="M356" s="301">
        <v>0.4276</v>
      </c>
      <c r="N356" s="301">
        <v>4.346</v>
      </c>
      <c r="O356" s="301">
        <v>0.1715</v>
      </c>
      <c r="P356" s="301">
        <v>0.5855</v>
      </c>
      <c r="R356" s="301">
        <v>2.6815</v>
      </c>
      <c r="S356" s="301">
        <v>0.5755</v>
      </c>
      <c r="U356" s="301">
        <v>0.4838</v>
      </c>
      <c r="V356" s="301">
        <v>0.5742</v>
      </c>
      <c r="W356" s="301">
        <v>0.9746</v>
      </c>
      <c r="X356" s="301">
        <v>2.2247</v>
      </c>
      <c r="Y356" s="301">
        <v>1.876</v>
      </c>
      <c r="Z356" s="301">
        <v>1.2601</v>
      </c>
      <c r="AA356" s="301">
        <v>6.2326</v>
      </c>
      <c r="AB356" s="301">
        <v>0.0791</v>
      </c>
      <c r="AC356" s="301">
        <v>0.2473</v>
      </c>
      <c r="AD356" s="301">
        <v>0.4153</v>
      </c>
      <c r="AE356" s="301">
        <v>1.7058</v>
      </c>
      <c r="AF356" s="301">
        <v>1.097</v>
      </c>
      <c r="AG356" s="301">
        <v>0.1087</v>
      </c>
      <c r="AH356" s="301">
        <v>3.6944</v>
      </c>
      <c r="AI356" s="301">
        <v>0.2917</v>
      </c>
      <c r="AJ356" s="301">
        <v>0.5452</v>
      </c>
      <c r="AK356" s="301">
        <v>5.2614</v>
      </c>
      <c r="AL356">
        <v>101</v>
      </c>
      <c r="AM356" t="s">
        <v>413</v>
      </c>
    </row>
    <row r="357" spans="1:39" ht="12.75">
      <c r="A357" s="86">
        <v>41057</v>
      </c>
      <c r="B357" s="301">
        <v>0.1094</v>
      </c>
      <c r="C357" s="301">
        <v>3.4535</v>
      </c>
      <c r="D357" s="301">
        <v>3.4045</v>
      </c>
      <c r="E357" s="301">
        <v>0.445</v>
      </c>
      <c r="F357" s="301">
        <v>3.3709</v>
      </c>
      <c r="G357" s="301">
        <v>2.6321</v>
      </c>
      <c r="H357" s="301">
        <v>2.7064</v>
      </c>
      <c r="I357" s="301">
        <v>4.3442</v>
      </c>
      <c r="J357" s="301">
        <v>1.4551</v>
      </c>
      <c r="K357" s="301">
        <v>3.6126</v>
      </c>
      <c r="L357" s="301">
        <v>5.417</v>
      </c>
      <c r="M357" s="301">
        <v>0.427</v>
      </c>
      <c r="N357" s="301">
        <v>4.3512</v>
      </c>
      <c r="O357" s="301">
        <v>0.1716</v>
      </c>
      <c r="P357" s="301">
        <v>0.5846</v>
      </c>
      <c r="R357" s="301">
        <v>2.6684</v>
      </c>
      <c r="S357" s="301">
        <v>0.5762</v>
      </c>
      <c r="U357" s="301">
        <v>0.4827</v>
      </c>
      <c r="V357" s="301">
        <v>0.5733</v>
      </c>
      <c r="W357" s="301">
        <v>0.9714</v>
      </c>
      <c r="X357" s="301">
        <v>2.2212</v>
      </c>
      <c r="Y357" s="301">
        <v>1.8813</v>
      </c>
      <c r="Z357" s="301">
        <v>1.2581</v>
      </c>
      <c r="AA357" s="301">
        <v>6.222</v>
      </c>
      <c r="AB357" s="301">
        <v>0.0793</v>
      </c>
      <c r="AC357" s="301">
        <v>0.2482</v>
      </c>
      <c r="AD357" s="301">
        <v>0.4154</v>
      </c>
      <c r="AE357" s="301">
        <v>1.7405</v>
      </c>
      <c r="AF357" s="301">
        <v>1.0977</v>
      </c>
      <c r="AG357" s="301">
        <v>0.1083</v>
      </c>
      <c r="AH357" s="301">
        <v>3.6887</v>
      </c>
      <c r="AI357" s="301">
        <v>0.2914</v>
      </c>
      <c r="AJ357" s="301">
        <v>0.5444</v>
      </c>
      <c r="AK357" s="301">
        <v>5.2565</v>
      </c>
      <c r="AL357">
        <v>102</v>
      </c>
      <c r="AM357" t="s">
        <v>413</v>
      </c>
    </row>
    <row r="358" spans="1:39" ht="12.75">
      <c r="A358" s="86">
        <v>41058</v>
      </c>
      <c r="B358" s="301">
        <v>0.1096</v>
      </c>
      <c r="C358" s="301">
        <v>3.4675</v>
      </c>
      <c r="D358" s="301">
        <v>3.4204</v>
      </c>
      <c r="E358" s="301">
        <v>0.4466</v>
      </c>
      <c r="F358" s="301">
        <v>3.3875</v>
      </c>
      <c r="G358" s="301">
        <v>2.6412</v>
      </c>
      <c r="H358" s="301">
        <v>2.7176</v>
      </c>
      <c r="I358" s="301">
        <v>4.3511</v>
      </c>
      <c r="J358" s="301">
        <v>1.4554</v>
      </c>
      <c r="K358" s="301">
        <v>3.6203</v>
      </c>
      <c r="L358" s="301">
        <v>5.4419</v>
      </c>
      <c r="M358" s="301">
        <v>0.4286</v>
      </c>
      <c r="N358" s="301">
        <v>4.3607</v>
      </c>
      <c r="O358" s="301">
        <v>0.1712</v>
      </c>
      <c r="P358" s="301">
        <v>0.5855</v>
      </c>
      <c r="R358" s="301">
        <v>2.6756</v>
      </c>
      <c r="S358" s="301">
        <v>0.5778</v>
      </c>
      <c r="U358" s="301">
        <v>0.4849</v>
      </c>
      <c r="V358" s="301">
        <v>0.5753</v>
      </c>
      <c r="W358" s="301">
        <v>0.9747</v>
      </c>
      <c r="X358" s="301">
        <v>2.2247</v>
      </c>
      <c r="Y358" s="301">
        <v>1.8905</v>
      </c>
      <c r="Z358" s="301">
        <v>1.2601</v>
      </c>
      <c r="AA358" s="301">
        <v>6.2337</v>
      </c>
      <c r="AB358" s="301">
        <v>0.0801</v>
      </c>
      <c r="AC358" s="301">
        <v>0.2487</v>
      </c>
      <c r="AD358" s="301">
        <v>0.4162</v>
      </c>
      <c r="AE358" s="301">
        <v>1.7497</v>
      </c>
      <c r="AF358" s="301">
        <v>1.1015</v>
      </c>
      <c r="AG358" s="301">
        <v>0.1078</v>
      </c>
      <c r="AH358" s="301">
        <v>3.6945</v>
      </c>
      <c r="AI358" s="301">
        <v>0.295</v>
      </c>
      <c r="AJ358" s="301">
        <v>0.5462</v>
      </c>
      <c r="AK358" s="301">
        <v>5.2649</v>
      </c>
      <c r="AL358">
        <v>103</v>
      </c>
      <c r="AM358" t="s">
        <v>413</v>
      </c>
    </row>
    <row r="359" spans="1:39" ht="12.75">
      <c r="A359" s="86">
        <v>41059</v>
      </c>
      <c r="B359" s="301">
        <v>0.1103</v>
      </c>
      <c r="C359" s="301">
        <v>3.5139</v>
      </c>
      <c r="D359" s="301">
        <v>3.4314</v>
      </c>
      <c r="E359" s="301">
        <v>0.4527</v>
      </c>
      <c r="F359" s="301">
        <v>3.4224</v>
      </c>
      <c r="G359" s="301">
        <v>2.6673</v>
      </c>
      <c r="H359" s="301">
        <v>2.7433</v>
      </c>
      <c r="I359" s="301">
        <v>4.3731</v>
      </c>
      <c r="J359" s="301">
        <v>1.4636</v>
      </c>
      <c r="K359" s="301">
        <v>3.6411</v>
      </c>
      <c r="L359" s="301">
        <v>5.4701</v>
      </c>
      <c r="M359" s="301">
        <v>0.4307</v>
      </c>
      <c r="N359" s="301">
        <v>4.43</v>
      </c>
      <c r="O359" s="301">
        <v>0.1708</v>
      </c>
      <c r="P359" s="301">
        <v>0.5885</v>
      </c>
      <c r="R359" s="301">
        <v>2.6943</v>
      </c>
      <c r="S359" s="301">
        <v>0.5812</v>
      </c>
      <c r="U359" s="301">
        <v>0.4867</v>
      </c>
      <c r="V359" s="301">
        <v>0.579</v>
      </c>
      <c r="W359" s="301">
        <v>0.98</v>
      </c>
      <c r="X359" s="301">
        <v>2.236</v>
      </c>
      <c r="Y359" s="301">
        <v>1.9122</v>
      </c>
      <c r="Z359" s="301">
        <v>1.2665</v>
      </c>
      <c r="AA359" s="301">
        <v>6.2634</v>
      </c>
      <c r="AB359" s="301">
        <v>0.0808</v>
      </c>
      <c r="AC359" s="301">
        <v>0.2517</v>
      </c>
      <c r="AD359" s="301">
        <v>0.4171</v>
      </c>
      <c r="AE359" s="301">
        <v>1.7637</v>
      </c>
      <c r="AF359" s="301">
        <v>1.1112</v>
      </c>
      <c r="AG359" s="301">
        <v>0.1079</v>
      </c>
      <c r="AH359" s="301">
        <v>3.7023</v>
      </c>
      <c r="AI359" s="301">
        <v>0.2982</v>
      </c>
      <c r="AJ359" s="301">
        <v>0.5527</v>
      </c>
      <c r="AK359" s="301">
        <v>5.2957</v>
      </c>
      <c r="AL359">
        <v>104</v>
      </c>
      <c r="AM359" t="s">
        <v>413</v>
      </c>
    </row>
    <row r="360" spans="1:39" ht="12.75">
      <c r="A360" s="86">
        <v>41060</v>
      </c>
      <c r="B360" s="301">
        <v>0.1112</v>
      </c>
      <c r="C360" s="301">
        <v>3.5372</v>
      </c>
      <c r="D360" s="301">
        <v>3.4451</v>
      </c>
      <c r="E360" s="301">
        <v>0.4555</v>
      </c>
      <c r="F360" s="301">
        <v>3.4425</v>
      </c>
      <c r="G360" s="301">
        <v>2.6752</v>
      </c>
      <c r="H360" s="301">
        <v>2.7529</v>
      </c>
      <c r="I360" s="301">
        <v>4.3889</v>
      </c>
      <c r="J360" s="301">
        <v>1.461</v>
      </c>
      <c r="K360" s="301">
        <v>3.6545</v>
      </c>
      <c r="L360" s="301">
        <v>5.4858</v>
      </c>
      <c r="M360" s="301">
        <v>0.4383</v>
      </c>
      <c r="N360" s="301">
        <v>4.4833</v>
      </c>
      <c r="O360" s="301">
        <v>0.1708</v>
      </c>
      <c r="P360" s="301">
        <v>0.5905</v>
      </c>
      <c r="R360" s="301">
        <v>2.7084</v>
      </c>
      <c r="S360" s="301">
        <v>0.5839</v>
      </c>
      <c r="U360" s="301">
        <v>0.4888</v>
      </c>
      <c r="V360" s="301">
        <v>0.58</v>
      </c>
      <c r="W360" s="301">
        <v>0.9827</v>
      </c>
      <c r="X360" s="301">
        <v>2.244</v>
      </c>
      <c r="Y360" s="301">
        <v>1.9135</v>
      </c>
      <c r="Z360" s="301">
        <v>1.2711</v>
      </c>
      <c r="AA360" s="301">
        <v>6.2887</v>
      </c>
      <c r="AB360" s="301">
        <v>0.0814</v>
      </c>
      <c r="AC360" s="301">
        <v>0.2505</v>
      </c>
      <c r="AD360" s="301">
        <v>0.4146</v>
      </c>
      <c r="AE360" s="301">
        <v>1.7535</v>
      </c>
      <c r="AF360" s="301">
        <v>1.1135</v>
      </c>
      <c r="AG360" s="301">
        <v>0.1073</v>
      </c>
      <c r="AH360" s="301">
        <v>3.6515</v>
      </c>
      <c r="AI360" s="301">
        <v>0.3002</v>
      </c>
      <c r="AJ360" s="301">
        <v>0.5552</v>
      </c>
      <c r="AK360" s="301">
        <v>5.3338</v>
      </c>
      <c r="AL360">
        <v>105</v>
      </c>
      <c r="AM360" t="s">
        <v>413</v>
      </c>
    </row>
    <row r="361" spans="1:39" ht="12.75">
      <c r="A361" s="86">
        <v>41061</v>
      </c>
      <c r="B361" s="301">
        <v>0.1123</v>
      </c>
      <c r="C361" s="301">
        <v>3.5777</v>
      </c>
      <c r="D361" s="301">
        <v>3.4557</v>
      </c>
      <c r="E361" s="301">
        <v>0.461</v>
      </c>
      <c r="F361" s="301">
        <v>3.4442</v>
      </c>
      <c r="G361" s="301">
        <v>2.6807</v>
      </c>
      <c r="H361" s="301">
        <v>2.7705</v>
      </c>
      <c r="I361" s="301">
        <v>4.4126</v>
      </c>
      <c r="J361" s="301">
        <v>1.4508</v>
      </c>
      <c r="K361" s="301">
        <v>3.6743</v>
      </c>
      <c r="L361" s="301">
        <v>5.4686</v>
      </c>
      <c r="M361" s="301">
        <v>0.442</v>
      </c>
      <c r="N361" s="301">
        <v>4.5731</v>
      </c>
      <c r="O361" s="301">
        <v>0.171</v>
      </c>
      <c r="P361" s="301">
        <v>0.5938</v>
      </c>
      <c r="R361" s="301">
        <v>2.7307</v>
      </c>
      <c r="S361" s="301">
        <v>0.5831</v>
      </c>
      <c r="U361" s="301">
        <v>0.4901</v>
      </c>
      <c r="V361" s="301">
        <v>0.5842</v>
      </c>
      <c r="W361" s="301">
        <v>0.9867</v>
      </c>
      <c r="X361" s="301">
        <v>2.2562</v>
      </c>
      <c r="Y361" s="301">
        <v>1.9175</v>
      </c>
      <c r="Z361" s="301">
        <v>1.278</v>
      </c>
      <c r="AA361" s="301">
        <v>6.3272</v>
      </c>
      <c r="AB361" s="301">
        <v>0.0823</v>
      </c>
      <c r="AC361" s="301">
        <v>0.2463</v>
      </c>
      <c r="AD361" s="301">
        <v>0.4153</v>
      </c>
      <c r="AE361" s="301">
        <v>1.7693</v>
      </c>
      <c r="AF361" s="301">
        <v>1.1205</v>
      </c>
      <c r="AG361" s="301">
        <v>0.1057</v>
      </c>
      <c r="AH361" s="301">
        <v>3.6713</v>
      </c>
      <c r="AI361" s="301">
        <v>0.3031</v>
      </c>
      <c r="AJ361" s="301">
        <v>0.5617</v>
      </c>
      <c r="AK361" s="301">
        <v>5.373</v>
      </c>
      <c r="AL361">
        <v>106</v>
      </c>
      <c r="AM361" t="s">
        <v>413</v>
      </c>
    </row>
    <row r="362" spans="1:39" ht="12.75">
      <c r="A362" s="86">
        <v>41064</v>
      </c>
      <c r="B362" s="301">
        <v>0.1124</v>
      </c>
      <c r="C362" s="301">
        <v>3.5431</v>
      </c>
      <c r="D362" s="301">
        <v>3.426</v>
      </c>
      <c r="E362" s="301">
        <v>0.4566</v>
      </c>
      <c r="F362" s="301">
        <v>3.4001</v>
      </c>
      <c r="G362" s="301">
        <v>2.6711</v>
      </c>
      <c r="H362" s="301">
        <v>2.7477</v>
      </c>
      <c r="I362" s="301">
        <v>4.4007</v>
      </c>
      <c r="J362" s="301">
        <v>1.4462</v>
      </c>
      <c r="K362" s="301">
        <v>3.6651</v>
      </c>
      <c r="L362" s="301">
        <v>5.4417</v>
      </c>
      <c r="M362" s="301">
        <v>0.4408</v>
      </c>
      <c r="N362" s="301">
        <v>4.5401</v>
      </c>
      <c r="O362" s="301">
        <v>0.1705</v>
      </c>
      <c r="P362" s="301">
        <v>0.5922</v>
      </c>
      <c r="R362" s="301">
        <v>2.7253</v>
      </c>
      <c r="S362" s="301">
        <v>0.5782</v>
      </c>
      <c r="U362" s="301">
        <v>0.4884</v>
      </c>
      <c r="V362" s="301">
        <v>0.5826</v>
      </c>
      <c r="W362" s="301">
        <v>0.9849</v>
      </c>
      <c r="X362" s="301">
        <v>2.2501</v>
      </c>
      <c r="Y362" s="301">
        <v>1.9088</v>
      </c>
      <c r="Z362" s="301">
        <v>1.2745</v>
      </c>
      <c r="AA362" s="301">
        <v>6.3138</v>
      </c>
      <c r="AB362" s="301">
        <v>0.0815</v>
      </c>
      <c r="AC362" s="301">
        <v>0.248</v>
      </c>
      <c r="AD362" s="301">
        <v>0.4126</v>
      </c>
      <c r="AE362" s="301">
        <v>1.7368</v>
      </c>
      <c r="AF362" s="301">
        <v>1.1078</v>
      </c>
      <c r="AG362" s="301">
        <v>0.1044</v>
      </c>
      <c r="AH362" s="301">
        <v>3.773</v>
      </c>
      <c r="AI362" s="301">
        <v>0.2997</v>
      </c>
      <c r="AJ362" s="301">
        <v>0.5567</v>
      </c>
      <c r="AK362" s="301">
        <v>5.3793</v>
      </c>
      <c r="AL362">
        <v>107</v>
      </c>
      <c r="AM362" t="s">
        <v>413</v>
      </c>
    </row>
    <row r="363" spans="1:39" ht="12.75">
      <c r="A363" s="86">
        <v>41065</v>
      </c>
      <c r="B363" s="301">
        <v>0.1118</v>
      </c>
      <c r="C363" s="301">
        <v>3.5359</v>
      </c>
      <c r="D363" s="301">
        <v>3.4419</v>
      </c>
      <c r="E363" s="301">
        <v>0.4557</v>
      </c>
      <c r="F363" s="301">
        <v>3.3986</v>
      </c>
      <c r="G363" s="301">
        <v>2.6667</v>
      </c>
      <c r="H363" s="301">
        <v>2.7439</v>
      </c>
      <c r="I363" s="301">
        <v>4.3922</v>
      </c>
      <c r="J363" s="301">
        <v>1.4492</v>
      </c>
      <c r="K363" s="301">
        <v>3.657</v>
      </c>
      <c r="L363" s="301">
        <v>5.4208</v>
      </c>
      <c r="M363" s="301">
        <v>0.44</v>
      </c>
      <c r="N363" s="301">
        <v>4.5213</v>
      </c>
      <c r="O363" s="301">
        <v>0.1709</v>
      </c>
      <c r="P363" s="301">
        <v>0.5911</v>
      </c>
      <c r="R363" s="301">
        <v>2.7235</v>
      </c>
      <c r="S363" s="301">
        <v>0.5781</v>
      </c>
      <c r="U363" s="301">
        <v>0.4896</v>
      </c>
      <c r="V363" s="301">
        <v>0.5796</v>
      </c>
      <c r="W363" s="301">
        <v>0.9829</v>
      </c>
      <c r="X363" s="301">
        <v>2.2457</v>
      </c>
      <c r="Y363" s="301">
        <v>1.9097</v>
      </c>
      <c r="Z363" s="301">
        <v>1.2721</v>
      </c>
      <c r="AA363" s="301">
        <v>6.3025</v>
      </c>
      <c r="AB363" s="301">
        <v>0.0812</v>
      </c>
      <c r="AC363" s="301">
        <v>0.2477</v>
      </c>
      <c r="AD363" s="301">
        <v>0.4151</v>
      </c>
      <c r="AE363" s="301">
        <v>1.7192</v>
      </c>
      <c r="AF363" s="301">
        <v>1.1049</v>
      </c>
      <c r="AG363" s="301">
        <v>0.106</v>
      </c>
      <c r="AH363" s="301">
        <v>3.7163</v>
      </c>
      <c r="AI363" s="301">
        <v>0.2996</v>
      </c>
      <c r="AJ363" s="301">
        <v>0.5554</v>
      </c>
      <c r="AK363" s="301">
        <v>5.3459</v>
      </c>
      <c r="AL363">
        <v>108</v>
      </c>
      <c r="AM363" t="s">
        <v>413</v>
      </c>
    </row>
    <row r="364" spans="1:39" ht="12.75">
      <c r="A364" s="86">
        <v>41066</v>
      </c>
      <c r="B364" s="301">
        <v>0.1106</v>
      </c>
      <c r="C364" s="301">
        <v>3.4703</v>
      </c>
      <c r="D364" s="301">
        <v>3.4212</v>
      </c>
      <c r="E364" s="301">
        <v>0.4479</v>
      </c>
      <c r="F364" s="301">
        <v>3.3622</v>
      </c>
      <c r="G364" s="301">
        <v>2.6502</v>
      </c>
      <c r="H364" s="301">
        <v>2.7145</v>
      </c>
      <c r="I364" s="301">
        <v>4.3423</v>
      </c>
      <c r="J364" s="301">
        <v>1.4473</v>
      </c>
      <c r="K364" s="301">
        <v>3.6159</v>
      </c>
      <c r="L364" s="301">
        <v>5.3662</v>
      </c>
      <c r="M364" s="301">
        <v>0.4314</v>
      </c>
      <c r="N364" s="301">
        <v>4.3855</v>
      </c>
      <c r="O364" s="301">
        <v>0.1702</v>
      </c>
      <c r="P364" s="301">
        <v>0.5843</v>
      </c>
      <c r="R364" s="301">
        <v>2.6887</v>
      </c>
      <c r="S364" s="301">
        <v>0.5714</v>
      </c>
      <c r="U364" s="301">
        <v>0.4829</v>
      </c>
      <c r="V364" s="301">
        <v>0.5738</v>
      </c>
      <c r="W364" s="301">
        <v>0.9736</v>
      </c>
      <c r="X364" s="301">
        <v>2.2202</v>
      </c>
      <c r="Y364" s="301">
        <v>1.8914</v>
      </c>
      <c r="Z364" s="301">
        <v>1.2576</v>
      </c>
      <c r="AA364" s="301">
        <v>6.2309</v>
      </c>
      <c r="AB364" s="301">
        <v>0.0803</v>
      </c>
      <c r="AC364" s="301">
        <v>0.2452</v>
      </c>
      <c r="AD364" s="301">
        <v>0.413</v>
      </c>
      <c r="AE364" s="301">
        <v>1.7132</v>
      </c>
      <c r="AF364" s="301">
        <v>1.0931</v>
      </c>
      <c r="AG364" s="301">
        <v>0.1067</v>
      </c>
      <c r="AH364" s="301">
        <v>3.6568</v>
      </c>
      <c r="AI364" s="301">
        <v>0.2957</v>
      </c>
      <c r="AJ364" s="301">
        <v>0.5453</v>
      </c>
      <c r="AK364" s="301">
        <v>5.2772</v>
      </c>
      <c r="AL364">
        <v>109</v>
      </c>
      <c r="AM364" t="s">
        <v>413</v>
      </c>
    </row>
    <row r="365" spans="1:39" ht="12.75">
      <c r="A365" s="86">
        <v>41068</v>
      </c>
      <c r="B365" s="301">
        <v>0.1089</v>
      </c>
      <c r="C365" s="301">
        <v>3.4566</v>
      </c>
      <c r="D365" s="301">
        <v>3.3979</v>
      </c>
      <c r="E365" s="301">
        <v>0.4456</v>
      </c>
      <c r="F365" s="301">
        <v>3.343</v>
      </c>
      <c r="G365" s="301">
        <v>2.6384</v>
      </c>
      <c r="H365" s="301">
        <v>2.6868</v>
      </c>
      <c r="I365" s="301">
        <v>4.3078</v>
      </c>
      <c r="J365" s="301">
        <v>1.4463</v>
      </c>
      <c r="K365" s="301">
        <v>3.587</v>
      </c>
      <c r="L365" s="301">
        <v>5.3285</v>
      </c>
      <c r="M365" s="301">
        <v>0.4259</v>
      </c>
      <c r="N365" s="301">
        <v>4.3643</v>
      </c>
      <c r="O365" s="301">
        <v>0.1686</v>
      </c>
      <c r="P365" s="301">
        <v>0.5796</v>
      </c>
      <c r="R365" s="301">
        <v>2.6696</v>
      </c>
      <c r="S365" s="301">
        <v>0.567</v>
      </c>
      <c r="U365" s="301">
        <v>0.4794</v>
      </c>
      <c r="V365" s="301">
        <v>0.5703</v>
      </c>
      <c r="W365" s="301">
        <v>0.9652</v>
      </c>
      <c r="X365" s="301">
        <v>2.2026</v>
      </c>
      <c r="Y365" s="301">
        <v>1.8812</v>
      </c>
      <c r="Z365" s="301">
        <v>1.2476</v>
      </c>
      <c r="AA365" s="301">
        <v>6.1805</v>
      </c>
      <c r="AB365" s="301">
        <v>0.0798</v>
      </c>
      <c r="AC365" s="301">
        <v>0.2437</v>
      </c>
      <c r="AD365" s="301">
        <v>0.4075</v>
      </c>
      <c r="AE365" s="301">
        <v>1.7005</v>
      </c>
      <c r="AF365" s="301">
        <v>1.0837</v>
      </c>
      <c r="AG365" s="301">
        <v>0.1051</v>
      </c>
      <c r="AH365" s="301">
        <v>3.6578</v>
      </c>
      <c r="AI365" s="301">
        <v>0.2943</v>
      </c>
      <c r="AJ365" s="301">
        <v>0.5426</v>
      </c>
      <c r="AK365" s="301">
        <v>5.189</v>
      </c>
      <c r="AL365">
        <v>110</v>
      </c>
      <c r="AM365" t="s">
        <v>413</v>
      </c>
    </row>
    <row r="366" spans="1:39" ht="12.75">
      <c r="A366" s="86">
        <v>41071</v>
      </c>
      <c r="B366" s="301">
        <v>0.108</v>
      </c>
      <c r="C366" s="301">
        <v>3.4072</v>
      </c>
      <c r="D366" s="301">
        <v>3.3967</v>
      </c>
      <c r="E366" s="301">
        <v>0.4393</v>
      </c>
      <c r="F366" s="301">
        <v>3.3283</v>
      </c>
      <c r="G366" s="301">
        <v>2.6427</v>
      </c>
      <c r="H366" s="301">
        <v>2.6655</v>
      </c>
      <c r="I366" s="301">
        <v>4.2922</v>
      </c>
      <c r="J366" s="301">
        <v>1.4555</v>
      </c>
      <c r="K366" s="301">
        <v>3.5734</v>
      </c>
      <c r="L366" s="301">
        <v>5.302</v>
      </c>
      <c r="M366" s="301">
        <v>0.4217</v>
      </c>
      <c r="N366" s="301">
        <v>4.2841</v>
      </c>
      <c r="O366" s="301">
        <v>0.169</v>
      </c>
      <c r="P366" s="301">
        <v>0.5775</v>
      </c>
      <c r="R366" s="301">
        <v>2.6465</v>
      </c>
      <c r="S366" s="301">
        <v>0.567</v>
      </c>
      <c r="U366" s="301">
        <v>0.4821</v>
      </c>
      <c r="V366" s="301">
        <v>0.5685</v>
      </c>
      <c r="W366" s="301">
        <v>0.9617</v>
      </c>
      <c r="X366" s="301">
        <v>2.1946</v>
      </c>
      <c r="Y366" s="301">
        <v>1.8772</v>
      </c>
      <c r="Z366" s="301">
        <v>1.2431</v>
      </c>
      <c r="AA366" s="301">
        <v>6.1581</v>
      </c>
      <c r="AB366" s="301">
        <v>0.0794</v>
      </c>
      <c r="AC366" s="301">
        <v>0.2461</v>
      </c>
      <c r="AD366" s="301">
        <v>0.4107</v>
      </c>
      <c r="AE366" s="301">
        <v>1.6863</v>
      </c>
      <c r="AF366" s="301">
        <v>1.0756</v>
      </c>
      <c r="AG366" s="301">
        <v>0.1041</v>
      </c>
      <c r="AH366" s="301">
        <v>3.6399</v>
      </c>
      <c r="AI366" s="301">
        <v>0.2923</v>
      </c>
      <c r="AJ366" s="301">
        <v>0.5352</v>
      </c>
      <c r="AK366" s="301">
        <v>5.2012</v>
      </c>
      <c r="AL366">
        <v>111</v>
      </c>
      <c r="AM366" t="s">
        <v>413</v>
      </c>
    </row>
    <row r="367" spans="1:39" ht="12.75">
      <c r="A367" s="86">
        <v>41072</v>
      </c>
      <c r="B367" s="301">
        <v>0.1092</v>
      </c>
      <c r="C367" s="301">
        <v>3.4552</v>
      </c>
      <c r="D367" s="301">
        <v>3.426</v>
      </c>
      <c r="E367" s="301">
        <v>0.4455</v>
      </c>
      <c r="F367" s="301">
        <v>3.3564</v>
      </c>
      <c r="G367" s="301">
        <v>2.6755</v>
      </c>
      <c r="H367" s="301">
        <v>2.6918</v>
      </c>
      <c r="I367" s="301">
        <v>4.3222</v>
      </c>
      <c r="J367" s="301">
        <v>1.4558</v>
      </c>
      <c r="K367" s="301">
        <v>3.5987</v>
      </c>
      <c r="L367" s="301">
        <v>5.3552</v>
      </c>
      <c r="M367" s="301">
        <v>0.4268</v>
      </c>
      <c r="N367" s="301">
        <v>4.3398</v>
      </c>
      <c r="O367" s="301">
        <v>0.169</v>
      </c>
      <c r="P367" s="301">
        <v>0.5815</v>
      </c>
      <c r="R367" s="301">
        <v>2.6688</v>
      </c>
      <c r="S367" s="301">
        <v>0.5732</v>
      </c>
      <c r="U367" s="301">
        <v>0.4881</v>
      </c>
      <c r="V367" s="301">
        <v>0.5721</v>
      </c>
      <c r="W367" s="301">
        <v>0.9687</v>
      </c>
      <c r="X367" s="301">
        <v>2.2099</v>
      </c>
      <c r="Y367" s="301">
        <v>1.8886</v>
      </c>
      <c r="Z367" s="301">
        <v>1.2518</v>
      </c>
      <c r="AA367" s="301">
        <v>6.202</v>
      </c>
      <c r="AB367" s="301">
        <v>0.0804</v>
      </c>
      <c r="AC367" s="301">
        <v>0.2461</v>
      </c>
      <c r="AD367" s="301">
        <v>0.4099</v>
      </c>
      <c r="AE367" s="301">
        <v>1.6728</v>
      </c>
      <c r="AF367" s="301">
        <v>1.0847</v>
      </c>
      <c r="AG367" s="301">
        <v>0.1052</v>
      </c>
      <c r="AH367" s="301">
        <v>3.6505</v>
      </c>
      <c r="AI367" s="301">
        <v>0.2953</v>
      </c>
      <c r="AJ367" s="301">
        <v>0.5423</v>
      </c>
      <c r="AK367" s="301">
        <v>5.2247</v>
      </c>
      <c r="AL367">
        <v>112</v>
      </c>
      <c r="AM367" t="s">
        <v>413</v>
      </c>
    </row>
    <row r="368" spans="1:39" ht="12.75">
      <c r="A368" s="86">
        <v>41073</v>
      </c>
      <c r="B368" s="301">
        <v>0.1095</v>
      </c>
      <c r="C368" s="301">
        <v>3.4591</v>
      </c>
      <c r="D368" s="301">
        <v>3.4443</v>
      </c>
      <c r="E368" s="301">
        <v>0.4458</v>
      </c>
      <c r="F368" s="301">
        <v>3.369</v>
      </c>
      <c r="G368" s="301">
        <v>2.6925</v>
      </c>
      <c r="H368" s="301">
        <v>2.7011</v>
      </c>
      <c r="I368" s="301">
        <v>4.331</v>
      </c>
      <c r="J368" s="301">
        <v>1.4575</v>
      </c>
      <c r="K368" s="301">
        <v>3.6057</v>
      </c>
      <c r="L368" s="301">
        <v>5.3861</v>
      </c>
      <c r="M368" s="301">
        <v>0.4254</v>
      </c>
      <c r="N368" s="301">
        <v>4.3451</v>
      </c>
      <c r="O368" s="301">
        <v>0.1691</v>
      </c>
      <c r="P368" s="301">
        <v>0.5828</v>
      </c>
      <c r="R368" s="301">
        <v>2.6735</v>
      </c>
      <c r="S368" s="301">
        <v>0.5749</v>
      </c>
      <c r="U368" s="301">
        <v>0.4897</v>
      </c>
      <c r="V368" s="301">
        <v>0.5733</v>
      </c>
      <c r="W368" s="301">
        <v>0.9704</v>
      </c>
      <c r="X368" s="301">
        <v>2.2144</v>
      </c>
      <c r="Y368" s="301">
        <v>1.893</v>
      </c>
      <c r="Z368" s="301">
        <v>1.2543</v>
      </c>
      <c r="AA368" s="301">
        <v>6.2156</v>
      </c>
      <c r="AB368" s="301">
        <v>0.0811</v>
      </c>
      <c r="AC368" s="301">
        <v>0.2475</v>
      </c>
      <c r="AD368" s="301">
        <v>0.4118</v>
      </c>
      <c r="AE368" s="301">
        <v>1.6733</v>
      </c>
      <c r="AF368" s="301">
        <v>1.0877</v>
      </c>
      <c r="AG368" s="301">
        <v>0.1059</v>
      </c>
      <c r="AH368" s="301">
        <v>3.6548</v>
      </c>
      <c r="AI368" s="301">
        <v>0.2965</v>
      </c>
      <c r="AJ368" s="301">
        <v>0.543</v>
      </c>
      <c r="AK368" s="301">
        <v>5.2471</v>
      </c>
      <c r="AL368">
        <v>113</v>
      </c>
      <c r="AM368" t="s">
        <v>413</v>
      </c>
    </row>
    <row r="369" spans="1:39" ht="12.75">
      <c r="A369" s="86">
        <v>41074</v>
      </c>
      <c r="B369" s="301">
        <v>0.1092</v>
      </c>
      <c r="C369" s="301">
        <v>3.442</v>
      </c>
      <c r="D369" s="301">
        <v>3.4168</v>
      </c>
      <c r="E369" s="301">
        <v>0.4437</v>
      </c>
      <c r="F369" s="301">
        <v>3.346</v>
      </c>
      <c r="G369" s="301">
        <v>2.6718</v>
      </c>
      <c r="H369" s="301">
        <v>2.6815</v>
      </c>
      <c r="I369" s="301">
        <v>4.3207</v>
      </c>
      <c r="J369" s="301">
        <v>1.4533</v>
      </c>
      <c r="K369" s="301">
        <v>3.5977</v>
      </c>
      <c r="L369" s="301">
        <v>5.3289</v>
      </c>
      <c r="M369" s="301">
        <v>0.4234</v>
      </c>
      <c r="N369" s="301">
        <v>4.3394</v>
      </c>
      <c r="O369" s="301">
        <v>0.1692</v>
      </c>
      <c r="P369" s="301">
        <v>0.5815</v>
      </c>
      <c r="R369" s="301">
        <v>2.6835</v>
      </c>
      <c r="S369" s="301">
        <v>0.5745</v>
      </c>
      <c r="U369" s="301">
        <v>0.4888</v>
      </c>
      <c r="V369" s="301">
        <v>0.5722</v>
      </c>
      <c r="W369" s="301">
        <v>0.968</v>
      </c>
      <c r="X369" s="301">
        <v>2.2091</v>
      </c>
      <c r="Y369" s="301">
        <v>1.8881</v>
      </c>
      <c r="Z369" s="301">
        <v>1.2513</v>
      </c>
      <c r="AA369" s="301">
        <v>6.1999</v>
      </c>
      <c r="AB369" s="301">
        <v>0.0807</v>
      </c>
      <c r="AC369" s="301">
        <v>0.2451</v>
      </c>
      <c r="AD369" s="301">
        <v>0.4082</v>
      </c>
      <c r="AE369" s="301">
        <v>1.6617</v>
      </c>
      <c r="AF369" s="301">
        <v>1.0805</v>
      </c>
      <c r="AG369" s="301">
        <v>0.1055</v>
      </c>
      <c r="AH369" s="301">
        <v>3.6349</v>
      </c>
      <c r="AI369" s="301">
        <v>0.295</v>
      </c>
      <c r="AJ369" s="301">
        <v>0.5404</v>
      </c>
      <c r="AK369" s="301">
        <v>5.2216</v>
      </c>
      <c r="AL369">
        <v>114</v>
      </c>
      <c r="AM369" t="s">
        <v>413</v>
      </c>
    </row>
    <row r="370" spans="1:39" ht="12.75">
      <c r="A370" s="86">
        <v>41075</v>
      </c>
      <c r="B370" s="301">
        <v>0.1077</v>
      </c>
      <c r="C370" s="301">
        <v>3.3971</v>
      </c>
      <c r="D370" s="301">
        <v>3.4096</v>
      </c>
      <c r="E370" s="301">
        <v>0.4378</v>
      </c>
      <c r="F370" s="301">
        <v>3.323</v>
      </c>
      <c r="G370" s="301">
        <v>2.6705</v>
      </c>
      <c r="H370" s="301">
        <v>2.6666</v>
      </c>
      <c r="I370" s="301">
        <v>4.2925</v>
      </c>
      <c r="J370" s="301">
        <v>1.4508</v>
      </c>
      <c r="K370" s="301">
        <v>3.574</v>
      </c>
      <c r="L370" s="301">
        <v>5.2772</v>
      </c>
      <c r="M370" s="301">
        <v>0.4201</v>
      </c>
      <c r="N370" s="301">
        <v>4.3039</v>
      </c>
      <c r="O370" s="301">
        <v>0.1683</v>
      </c>
      <c r="P370" s="301">
        <v>0.5776</v>
      </c>
      <c r="R370" s="301">
        <v>2.6798</v>
      </c>
      <c r="S370" s="301">
        <v>0.5718</v>
      </c>
      <c r="U370" s="301">
        <v>0.486</v>
      </c>
      <c r="V370" s="301">
        <v>0.5685</v>
      </c>
      <c r="W370" s="301">
        <v>0.9634</v>
      </c>
      <c r="X370" s="301">
        <v>2.1946</v>
      </c>
      <c r="Y370" s="301">
        <v>1.8724</v>
      </c>
      <c r="Z370" s="301">
        <v>1.2432</v>
      </c>
      <c r="AA370" s="301">
        <v>6.1603</v>
      </c>
      <c r="AB370" s="301">
        <v>0.0804</v>
      </c>
      <c r="AC370" s="301">
        <v>0.245</v>
      </c>
      <c r="AD370" s="301">
        <v>0.4061</v>
      </c>
      <c r="AE370" s="301">
        <v>1.6518</v>
      </c>
      <c r="AF370" s="301">
        <v>1.0732</v>
      </c>
      <c r="AG370" s="301">
        <v>0.1046</v>
      </c>
      <c r="AH370" s="301">
        <v>3.5875</v>
      </c>
      <c r="AI370" s="301">
        <v>0.2921</v>
      </c>
      <c r="AJ370" s="301">
        <v>0.5338</v>
      </c>
      <c r="AK370" s="301">
        <v>5.1872</v>
      </c>
      <c r="AL370">
        <v>115</v>
      </c>
      <c r="AM370" t="s">
        <v>413</v>
      </c>
    </row>
    <row r="371" spans="1:39" ht="12.75">
      <c r="A371" s="86">
        <v>41078</v>
      </c>
      <c r="B371" s="301">
        <v>0.1073</v>
      </c>
      <c r="C371" s="301">
        <v>3.3741</v>
      </c>
      <c r="D371" s="301">
        <v>3.4054</v>
      </c>
      <c r="E371" s="301">
        <v>0.4348</v>
      </c>
      <c r="F371" s="301">
        <v>3.2924</v>
      </c>
      <c r="G371" s="301">
        <v>2.6703</v>
      </c>
      <c r="H371" s="301">
        <v>2.6546</v>
      </c>
      <c r="I371" s="301">
        <v>4.268</v>
      </c>
      <c r="J371" s="301">
        <v>1.4589</v>
      </c>
      <c r="K371" s="301">
        <v>3.5536</v>
      </c>
      <c r="L371" s="301">
        <v>5.293</v>
      </c>
      <c r="M371" s="301">
        <v>0.4175</v>
      </c>
      <c r="N371" s="301">
        <v>4.2665</v>
      </c>
      <c r="O371" s="301">
        <v>0.1676</v>
      </c>
      <c r="P371" s="301">
        <v>0.5743</v>
      </c>
      <c r="R371" s="301">
        <v>2.696</v>
      </c>
      <c r="S371" s="301">
        <v>0.5664</v>
      </c>
      <c r="U371" s="301">
        <v>0.4827</v>
      </c>
      <c r="V371" s="301">
        <v>0.5657</v>
      </c>
      <c r="W371" s="301">
        <v>0.956</v>
      </c>
      <c r="X371" s="301">
        <v>2.1822</v>
      </c>
      <c r="Y371" s="301">
        <v>1.8635</v>
      </c>
      <c r="Z371" s="301">
        <v>1.2361</v>
      </c>
      <c r="AA371" s="301">
        <v>6.126</v>
      </c>
      <c r="AB371" s="301">
        <v>0.0797</v>
      </c>
      <c r="AC371" s="301">
        <v>0.2432</v>
      </c>
      <c r="AD371" s="301">
        <v>0.4068</v>
      </c>
      <c r="AE371" s="301">
        <v>1.6468</v>
      </c>
      <c r="AF371" s="301">
        <v>1.0684</v>
      </c>
      <c r="AG371" s="301">
        <v>0.1047</v>
      </c>
      <c r="AH371" s="301">
        <v>3.5649</v>
      </c>
      <c r="AI371" s="301">
        <v>0.2913</v>
      </c>
      <c r="AJ371" s="301">
        <v>0.5306</v>
      </c>
      <c r="AK371" s="301">
        <v>5.1495</v>
      </c>
      <c r="AL371">
        <v>116</v>
      </c>
      <c r="AM371" t="s">
        <v>413</v>
      </c>
    </row>
    <row r="372" spans="1:39" ht="12.75">
      <c r="A372" s="86">
        <v>41079</v>
      </c>
      <c r="B372" s="301">
        <v>0.1081</v>
      </c>
      <c r="C372" s="301">
        <v>3.3916</v>
      </c>
      <c r="D372" s="301">
        <v>3.4369</v>
      </c>
      <c r="E372" s="301">
        <v>0.4372</v>
      </c>
      <c r="F372" s="301">
        <v>3.3164</v>
      </c>
      <c r="G372" s="301">
        <v>2.6923</v>
      </c>
      <c r="H372" s="301">
        <v>2.6756</v>
      </c>
      <c r="I372" s="301">
        <v>4.2733</v>
      </c>
      <c r="J372" s="301">
        <v>1.4757</v>
      </c>
      <c r="K372" s="301">
        <v>3.5586</v>
      </c>
      <c r="L372" s="301">
        <v>5.3032</v>
      </c>
      <c r="M372" s="301">
        <v>0.4204</v>
      </c>
      <c r="N372" s="301">
        <v>4.298</v>
      </c>
      <c r="O372" s="301">
        <v>0.1672</v>
      </c>
      <c r="P372" s="301">
        <v>0.5749</v>
      </c>
      <c r="R372" s="301">
        <v>2.7043</v>
      </c>
      <c r="S372" s="301">
        <v>0.5683</v>
      </c>
      <c r="U372" s="301">
        <v>0.4829</v>
      </c>
      <c r="V372" s="301">
        <v>0.5666</v>
      </c>
      <c r="W372" s="301">
        <v>0.9576</v>
      </c>
      <c r="X372" s="301">
        <v>2.1849</v>
      </c>
      <c r="Y372" s="301">
        <v>1.8743</v>
      </c>
      <c r="Z372" s="301">
        <v>1.2376</v>
      </c>
      <c r="AA372" s="301">
        <v>6.1336</v>
      </c>
      <c r="AB372" s="301">
        <v>0.0802</v>
      </c>
      <c r="AC372" s="301">
        <v>0.2455</v>
      </c>
      <c r="AD372" s="301">
        <v>0.4092</v>
      </c>
      <c r="AE372" s="301">
        <v>1.648</v>
      </c>
      <c r="AF372" s="301">
        <v>1.0742</v>
      </c>
      <c r="AG372" s="301">
        <v>0.1035</v>
      </c>
      <c r="AH372" s="301">
        <v>3.5696</v>
      </c>
      <c r="AI372" s="301">
        <v>0.2935</v>
      </c>
      <c r="AJ372" s="301">
        <v>0.5338</v>
      </c>
      <c r="AK372" s="301">
        <v>5.1506</v>
      </c>
      <c r="AL372">
        <v>117</v>
      </c>
      <c r="AM372" t="s">
        <v>413</v>
      </c>
    </row>
    <row r="373" spans="1:39" ht="12.75">
      <c r="A373" s="86">
        <v>41080</v>
      </c>
      <c r="B373" s="301">
        <v>0.1064</v>
      </c>
      <c r="C373" s="301">
        <v>3.3471</v>
      </c>
      <c r="D373" s="301">
        <v>3.4129</v>
      </c>
      <c r="E373" s="301">
        <v>0.4314</v>
      </c>
      <c r="F373" s="301">
        <v>3.29</v>
      </c>
      <c r="G373" s="301">
        <v>2.6658</v>
      </c>
      <c r="H373" s="301">
        <v>2.6415</v>
      </c>
      <c r="I373" s="301">
        <v>4.2503</v>
      </c>
      <c r="J373" s="301">
        <v>1.4779</v>
      </c>
      <c r="K373" s="301">
        <v>3.5397</v>
      </c>
      <c r="L373" s="301">
        <v>5.2642</v>
      </c>
      <c r="M373" s="301">
        <v>0.4149</v>
      </c>
      <c r="N373" s="301">
        <v>4.2399</v>
      </c>
      <c r="O373" s="301">
        <v>0.1671</v>
      </c>
      <c r="P373" s="301">
        <v>0.5718</v>
      </c>
      <c r="R373" s="301">
        <v>2.6872</v>
      </c>
      <c r="S373" s="301">
        <v>0.5653</v>
      </c>
      <c r="U373" s="301">
        <v>0.4806</v>
      </c>
      <c r="V373" s="301">
        <v>0.5634</v>
      </c>
      <c r="W373" s="301">
        <v>0.9521</v>
      </c>
      <c r="X373" s="301">
        <v>2.1732</v>
      </c>
      <c r="Y373" s="301">
        <v>1.8674</v>
      </c>
      <c r="Z373" s="301">
        <v>1.231</v>
      </c>
      <c r="AA373" s="301">
        <v>6.0989</v>
      </c>
      <c r="AB373" s="301">
        <v>0.0795</v>
      </c>
      <c r="AC373" s="301">
        <v>0.2449</v>
      </c>
      <c r="AD373" s="301">
        <v>0.4079</v>
      </c>
      <c r="AE373" s="301">
        <v>1.6506</v>
      </c>
      <c r="AF373" s="301">
        <v>1.0592</v>
      </c>
      <c r="AG373" s="301">
        <v>0.103</v>
      </c>
      <c r="AH373" s="301">
        <v>3.5329</v>
      </c>
      <c r="AI373" s="301">
        <v>0.2907</v>
      </c>
      <c r="AJ373" s="301">
        <v>0.5263</v>
      </c>
      <c r="AK373" s="301">
        <v>5.122</v>
      </c>
      <c r="AL373">
        <v>118</v>
      </c>
      <c r="AM373" t="s">
        <v>413</v>
      </c>
    </row>
    <row r="374" spans="1:39" ht="12.75">
      <c r="A374" s="86">
        <v>41081</v>
      </c>
      <c r="B374" s="301">
        <v>0.1061</v>
      </c>
      <c r="C374" s="301">
        <v>3.3617</v>
      </c>
      <c r="D374" s="301">
        <v>3.416</v>
      </c>
      <c r="E374" s="301">
        <v>0.4332</v>
      </c>
      <c r="F374" s="301">
        <v>3.2904</v>
      </c>
      <c r="G374" s="301">
        <v>2.6826</v>
      </c>
      <c r="H374" s="301">
        <v>2.6445</v>
      </c>
      <c r="I374" s="301">
        <v>4.2585</v>
      </c>
      <c r="J374" s="301">
        <v>1.4926</v>
      </c>
      <c r="K374" s="301">
        <v>3.5459</v>
      </c>
      <c r="L374" s="301">
        <v>5.2789</v>
      </c>
      <c r="M374" s="301">
        <v>0.4165</v>
      </c>
      <c r="N374" s="301">
        <v>4.2165</v>
      </c>
      <c r="O374" s="301">
        <v>0.1665</v>
      </c>
      <c r="P374" s="301">
        <v>0.5729</v>
      </c>
      <c r="R374" s="301">
        <v>2.689</v>
      </c>
      <c r="S374" s="301">
        <v>0.5674</v>
      </c>
      <c r="U374" s="301">
        <v>0.4821</v>
      </c>
      <c r="V374" s="301">
        <v>0.5652</v>
      </c>
      <c r="W374" s="301">
        <v>0.9536</v>
      </c>
      <c r="X374" s="301">
        <v>2.1774</v>
      </c>
      <c r="Y374" s="301">
        <v>1.8694</v>
      </c>
      <c r="Z374" s="301">
        <v>1.2333</v>
      </c>
      <c r="AA374" s="301">
        <v>6.1124</v>
      </c>
      <c r="AB374" s="301">
        <v>0.0793</v>
      </c>
      <c r="AC374" s="301">
        <v>0.2455</v>
      </c>
      <c r="AD374" s="301">
        <v>0.4071</v>
      </c>
      <c r="AE374" s="301">
        <v>1.659</v>
      </c>
      <c r="AF374" s="301">
        <v>1.0576</v>
      </c>
      <c r="AG374" s="301">
        <v>0.1025</v>
      </c>
      <c r="AH374" s="301">
        <v>3.5471</v>
      </c>
      <c r="AI374" s="301">
        <v>0.2916</v>
      </c>
      <c r="AJ374" s="301">
        <v>0.5282</v>
      </c>
      <c r="AK374" s="301">
        <v>5.1104</v>
      </c>
      <c r="AL374">
        <v>119</v>
      </c>
      <c r="AM374" t="s">
        <v>413</v>
      </c>
    </row>
    <row r="375" spans="1:39" ht="12.75">
      <c r="A375" s="86">
        <v>41082</v>
      </c>
      <c r="B375" s="301">
        <v>0.1072</v>
      </c>
      <c r="C375" s="301">
        <v>3.4025</v>
      </c>
      <c r="D375" s="301">
        <v>3.4115</v>
      </c>
      <c r="E375" s="301">
        <v>0.4385</v>
      </c>
      <c r="F375" s="301">
        <v>3.3106</v>
      </c>
      <c r="G375" s="301">
        <v>2.6778</v>
      </c>
      <c r="H375" s="301">
        <v>2.6644</v>
      </c>
      <c r="I375" s="301">
        <v>4.271</v>
      </c>
      <c r="J375" s="301">
        <v>1.4866</v>
      </c>
      <c r="K375" s="301">
        <v>3.5564</v>
      </c>
      <c r="L375" s="301">
        <v>5.3158</v>
      </c>
      <c r="M375" s="301">
        <v>0.4209</v>
      </c>
      <c r="N375" s="301">
        <v>4.2348</v>
      </c>
      <c r="O375" s="301">
        <v>0.1659</v>
      </c>
      <c r="P375" s="301">
        <v>0.5745</v>
      </c>
      <c r="R375" s="301">
        <v>2.7015</v>
      </c>
      <c r="S375" s="301">
        <v>0.5712</v>
      </c>
      <c r="U375" s="301">
        <v>0.4852</v>
      </c>
      <c r="V375" s="301">
        <v>0.5693</v>
      </c>
      <c r="W375" s="301">
        <v>0.9557</v>
      </c>
      <c r="X375" s="301">
        <v>2.1838</v>
      </c>
      <c r="Y375" s="301">
        <v>1.8857</v>
      </c>
      <c r="Z375" s="301">
        <v>1.2369</v>
      </c>
      <c r="AA375" s="301">
        <v>6.1259</v>
      </c>
      <c r="AB375" s="301">
        <v>0.0802</v>
      </c>
      <c r="AC375" s="301">
        <v>0.2452</v>
      </c>
      <c r="AD375" s="301">
        <v>0.4062</v>
      </c>
      <c r="AE375" s="301">
        <v>1.65</v>
      </c>
      <c r="AF375" s="301">
        <v>1.0664</v>
      </c>
      <c r="AG375" s="301">
        <v>0.102</v>
      </c>
      <c r="AH375" s="301">
        <v>3.5858</v>
      </c>
      <c r="AI375" s="301">
        <v>0.2935</v>
      </c>
      <c r="AJ375" s="301">
        <v>0.5347</v>
      </c>
      <c r="AK375" s="301">
        <v>5.1298</v>
      </c>
      <c r="AL375">
        <v>120</v>
      </c>
      <c r="AM375" t="s">
        <v>413</v>
      </c>
    </row>
    <row r="376" spans="1:39" ht="12.75">
      <c r="A376" s="86">
        <v>41085</v>
      </c>
      <c r="B376" s="301">
        <v>0.1073</v>
      </c>
      <c r="C376" s="301">
        <v>3.4105</v>
      </c>
      <c r="D376" s="301">
        <v>3.4178</v>
      </c>
      <c r="E376" s="301">
        <v>0.4395</v>
      </c>
      <c r="F376" s="301">
        <v>3.3226</v>
      </c>
      <c r="G376" s="301">
        <v>2.6883</v>
      </c>
      <c r="H376" s="301">
        <v>2.6618</v>
      </c>
      <c r="I376" s="301">
        <v>4.2645</v>
      </c>
      <c r="J376" s="301">
        <v>1.4831</v>
      </c>
      <c r="K376" s="301">
        <v>3.5511</v>
      </c>
      <c r="L376" s="301">
        <v>5.3081</v>
      </c>
      <c r="M376" s="301">
        <v>0.4223</v>
      </c>
      <c r="N376" s="301">
        <v>4.2592</v>
      </c>
      <c r="O376" s="301">
        <v>0.1656</v>
      </c>
      <c r="P376" s="301">
        <v>0.5737</v>
      </c>
      <c r="R376" s="301">
        <v>2.6989</v>
      </c>
      <c r="S376" s="301">
        <v>0.5694</v>
      </c>
      <c r="U376" s="301">
        <v>0.4843</v>
      </c>
      <c r="V376" s="301">
        <v>0.5665</v>
      </c>
      <c r="W376" s="301">
        <v>0.9545</v>
      </c>
      <c r="X376" s="301">
        <v>2.1804</v>
      </c>
      <c r="Y376" s="301">
        <v>1.8752</v>
      </c>
      <c r="Z376" s="301">
        <v>1.2351</v>
      </c>
      <c r="AA376" s="301">
        <v>6.1192</v>
      </c>
      <c r="AB376" s="301">
        <v>0.08</v>
      </c>
      <c r="AC376" s="301">
        <v>0.2458</v>
      </c>
      <c r="AD376" s="301">
        <v>0.404</v>
      </c>
      <c r="AE376" s="301">
        <v>1.6498</v>
      </c>
      <c r="AF376" s="301">
        <v>1.0674</v>
      </c>
      <c r="AG376" s="301">
        <v>0.1029</v>
      </c>
      <c r="AH376" s="301">
        <v>3.5909</v>
      </c>
      <c r="AI376" s="301">
        <v>0.2937</v>
      </c>
      <c r="AJ376" s="301">
        <v>0.536</v>
      </c>
      <c r="AK376" s="301">
        <v>5.1512</v>
      </c>
      <c r="AL376">
        <v>121</v>
      </c>
      <c r="AM376" t="s">
        <v>413</v>
      </c>
    </row>
    <row r="377" spans="1:39" ht="12.75">
      <c r="A377" s="86">
        <v>41086</v>
      </c>
      <c r="B377" s="301">
        <v>0.1073</v>
      </c>
      <c r="C377" s="301">
        <v>3.4088</v>
      </c>
      <c r="D377" s="301">
        <v>3.4202</v>
      </c>
      <c r="E377" s="301">
        <v>0.4394</v>
      </c>
      <c r="F377" s="301">
        <v>3.3181</v>
      </c>
      <c r="G377" s="301">
        <v>2.6982</v>
      </c>
      <c r="H377" s="301">
        <v>2.6599</v>
      </c>
      <c r="I377" s="301">
        <v>4.258</v>
      </c>
      <c r="J377" s="301">
        <v>1.4845</v>
      </c>
      <c r="K377" s="301">
        <v>3.5463</v>
      </c>
      <c r="L377" s="301">
        <v>5.3198</v>
      </c>
      <c r="M377" s="301">
        <v>0.4217</v>
      </c>
      <c r="N377" s="301">
        <v>4.2967</v>
      </c>
      <c r="O377" s="301">
        <v>0.1646</v>
      </c>
      <c r="P377" s="301">
        <v>0.5728</v>
      </c>
      <c r="R377" s="301">
        <v>2.6966</v>
      </c>
      <c r="S377" s="301">
        <v>0.5672</v>
      </c>
      <c r="U377" s="301">
        <v>0.4825</v>
      </c>
      <c r="V377" s="301">
        <v>0.5671</v>
      </c>
      <c r="W377" s="301">
        <v>0.9535</v>
      </c>
      <c r="X377" s="301">
        <v>2.1771</v>
      </c>
      <c r="Y377" s="301">
        <v>1.8766</v>
      </c>
      <c r="Z377" s="301">
        <v>1.2332</v>
      </c>
      <c r="AA377" s="301">
        <v>6.1143</v>
      </c>
      <c r="AB377" s="301">
        <v>0.0802</v>
      </c>
      <c r="AC377" s="301">
        <v>0.2453</v>
      </c>
      <c r="AD377" s="301">
        <v>0.4021</v>
      </c>
      <c r="AE377" s="301">
        <v>1.6539</v>
      </c>
      <c r="AF377" s="301">
        <v>1.0672</v>
      </c>
      <c r="AG377" s="301">
        <v>0.1029</v>
      </c>
      <c r="AH377" s="301">
        <v>3.5928</v>
      </c>
      <c r="AI377" s="301">
        <v>0.2942</v>
      </c>
      <c r="AJ377" s="301">
        <v>0.5358</v>
      </c>
      <c r="AK377" s="301">
        <v>5.1561</v>
      </c>
      <c r="AL377">
        <v>122</v>
      </c>
      <c r="AM377" t="s">
        <v>413</v>
      </c>
    </row>
    <row r="378" spans="1:39" ht="12.75">
      <c r="A378" s="86">
        <v>41087</v>
      </c>
      <c r="B378" s="301">
        <v>0.1067</v>
      </c>
      <c r="C378" s="301">
        <v>3.4015</v>
      </c>
      <c r="D378" s="301">
        <v>3.4185</v>
      </c>
      <c r="E378" s="301">
        <v>0.4384</v>
      </c>
      <c r="F378" s="301">
        <v>3.3163</v>
      </c>
      <c r="G378" s="301">
        <v>2.6844</v>
      </c>
      <c r="H378" s="301">
        <v>2.6603</v>
      </c>
      <c r="I378" s="301">
        <v>4.25</v>
      </c>
      <c r="J378" s="301">
        <v>1.4869</v>
      </c>
      <c r="K378" s="301">
        <v>3.5387</v>
      </c>
      <c r="L378" s="301">
        <v>5.3122</v>
      </c>
      <c r="M378" s="301">
        <v>0.421</v>
      </c>
      <c r="N378" s="301">
        <v>4.275</v>
      </c>
      <c r="O378" s="301">
        <v>0.1637</v>
      </c>
      <c r="P378" s="301">
        <v>0.5717</v>
      </c>
      <c r="R378" s="301">
        <v>2.6915</v>
      </c>
      <c r="S378" s="301">
        <v>0.5652</v>
      </c>
      <c r="U378" s="301">
        <v>0.481</v>
      </c>
      <c r="V378" s="301">
        <v>0.5656</v>
      </c>
      <c r="W378" s="301">
        <v>0.9569</v>
      </c>
      <c r="X378" s="301">
        <v>2.173</v>
      </c>
      <c r="Y378" s="301">
        <v>1.8805</v>
      </c>
      <c r="Z378" s="301">
        <v>1.2309</v>
      </c>
      <c r="AA378" s="301">
        <v>6.1011</v>
      </c>
      <c r="AB378" s="301">
        <v>0.0802</v>
      </c>
      <c r="AC378" s="301">
        <v>0.2473</v>
      </c>
      <c r="AD378" s="301">
        <v>0.404</v>
      </c>
      <c r="AE378" s="301">
        <v>1.639</v>
      </c>
      <c r="AF378" s="301">
        <v>1.0647</v>
      </c>
      <c r="AG378" s="301">
        <v>0.1034</v>
      </c>
      <c r="AH378" s="301">
        <v>3.5844</v>
      </c>
      <c r="AI378" s="301">
        <v>0.294</v>
      </c>
      <c r="AJ378" s="301">
        <v>0.5351</v>
      </c>
      <c r="AK378" s="301">
        <v>5.1591</v>
      </c>
      <c r="AL378">
        <v>123</v>
      </c>
      <c r="AM378" t="s">
        <v>413</v>
      </c>
    </row>
    <row r="379" spans="1:39" ht="12.75">
      <c r="A379" s="86">
        <v>41088</v>
      </c>
      <c r="B379" s="301">
        <v>0.1081</v>
      </c>
      <c r="C379" s="301">
        <v>3.4408</v>
      </c>
      <c r="D379" s="301">
        <v>3.4664</v>
      </c>
      <c r="E379" s="301">
        <v>0.4435</v>
      </c>
      <c r="F379" s="301">
        <v>3.3506</v>
      </c>
      <c r="G379" s="301">
        <v>2.7263</v>
      </c>
      <c r="H379" s="301">
        <v>2.6913</v>
      </c>
      <c r="I379" s="301">
        <v>4.276</v>
      </c>
      <c r="J379" s="301">
        <v>1.4863</v>
      </c>
      <c r="K379" s="301">
        <v>3.5605</v>
      </c>
      <c r="L379" s="301">
        <v>5.349</v>
      </c>
      <c r="M379" s="301">
        <v>0.4236</v>
      </c>
      <c r="N379" s="301">
        <v>4.3391</v>
      </c>
      <c r="O379" s="301">
        <v>0.1654</v>
      </c>
      <c r="P379" s="301">
        <v>0.5752</v>
      </c>
      <c r="R379" s="301">
        <v>2.7123</v>
      </c>
      <c r="S379" s="301">
        <v>0.5669</v>
      </c>
      <c r="U379" s="301">
        <v>0.4856</v>
      </c>
      <c r="V379" s="301">
        <v>0.5687</v>
      </c>
      <c r="W379" s="301">
        <v>0.9605</v>
      </c>
      <c r="X379" s="301">
        <v>2.1863</v>
      </c>
      <c r="Y379" s="301">
        <v>1.8881</v>
      </c>
      <c r="Z379" s="301">
        <v>1.2384</v>
      </c>
      <c r="AA379" s="301">
        <v>6.1401</v>
      </c>
      <c r="AB379" s="301">
        <v>0.0812</v>
      </c>
      <c r="AC379" s="301">
        <v>0.2526</v>
      </c>
      <c r="AD379" s="301">
        <v>0.4083</v>
      </c>
      <c r="AE379" s="301">
        <v>1.6565</v>
      </c>
      <c r="AF379" s="301">
        <v>1.0763</v>
      </c>
      <c r="AG379" s="301">
        <v>0.1038</v>
      </c>
      <c r="AH379" s="301">
        <v>3.6198</v>
      </c>
      <c r="AI379" s="301">
        <v>0.2978</v>
      </c>
      <c r="AJ379" s="301">
        <v>0.5412</v>
      </c>
      <c r="AK379" s="301">
        <v>5.1877</v>
      </c>
      <c r="AL379">
        <v>124</v>
      </c>
      <c r="AM379" t="s">
        <v>413</v>
      </c>
    </row>
    <row r="380" spans="1:39" ht="12.75">
      <c r="A380" s="86">
        <v>41089</v>
      </c>
      <c r="B380" s="301">
        <v>0.1067</v>
      </c>
      <c r="C380" s="301">
        <v>3.3885</v>
      </c>
      <c r="D380" s="301">
        <v>3.4464</v>
      </c>
      <c r="E380" s="301">
        <v>0.4368</v>
      </c>
      <c r="F380" s="301">
        <v>3.3051</v>
      </c>
      <c r="G380" s="301">
        <v>2.7053</v>
      </c>
      <c r="H380" s="301">
        <v>2.6684</v>
      </c>
      <c r="I380" s="301">
        <v>4.2613</v>
      </c>
      <c r="J380" s="301">
        <v>1.4784</v>
      </c>
      <c r="K380" s="301">
        <v>3.5477</v>
      </c>
      <c r="L380" s="301">
        <v>5.2896</v>
      </c>
      <c r="M380" s="301">
        <v>0.4221</v>
      </c>
      <c r="N380" s="301">
        <v>4.2613</v>
      </c>
      <c r="O380" s="301">
        <v>0.1664</v>
      </c>
      <c r="P380" s="301">
        <v>0.5733</v>
      </c>
      <c r="R380" s="301">
        <v>2.6904</v>
      </c>
      <c r="S380" s="301">
        <v>0.5655</v>
      </c>
      <c r="U380" s="301">
        <v>0.4856</v>
      </c>
      <c r="V380" s="301">
        <v>0.5672</v>
      </c>
      <c r="W380" s="301">
        <v>0.9585</v>
      </c>
      <c r="X380" s="301">
        <v>2.1788</v>
      </c>
      <c r="Y380" s="301">
        <v>1.8655</v>
      </c>
      <c r="Z380" s="301">
        <v>1.2341</v>
      </c>
      <c r="AA380" s="301">
        <v>6.1182</v>
      </c>
      <c r="AB380" s="301">
        <v>0.0804</v>
      </c>
      <c r="AC380" s="301">
        <v>0.2518</v>
      </c>
      <c r="AD380" s="301">
        <v>0.4103</v>
      </c>
      <c r="AE380" s="301">
        <v>1.6315</v>
      </c>
      <c r="AF380" s="301">
        <v>1.0661</v>
      </c>
      <c r="AG380" s="301">
        <v>0.103</v>
      </c>
      <c r="AH380" s="301">
        <v>3.6003</v>
      </c>
      <c r="AI380" s="301">
        <v>0.2955</v>
      </c>
      <c r="AJ380" s="301">
        <v>0.5332</v>
      </c>
      <c r="AK380" s="301">
        <v>5.1837</v>
      </c>
      <c r="AL380">
        <v>125</v>
      </c>
      <c r="AM380" t="s">
        <v>413</v>
      </c>
    </row>
    <row r="381" spans="1:39" ht="12.75">
      <c r="A381" s="86">
        <v>41092</v>
      </c>
      <c r="B381" s="301">
        <v>0.1059</v>
      </c>
      <c r="C381" s="301">
        <v>3.3456</v>
      </c>
      <c r="D381" s="301">
        <v>3.4312</v>
      </c>
      <c r="E381" s="301">
        <v>0.4313</v>
      </c>
      <c r="F381" s="301">
        <v>3.2889</v>
      </c>
      <c r="G381" s="301">
        <v>2.6873</v>
      </c>
      <c r="H381" s="301">
        <v>2.6426</v>
      </c>
      <c r="I381" s="301">
        <v>4.2308</v>
      </c>
      <c r="J381" s="301">
        <v>1.481</v>
      </c>
      <c r="K381" s="301">
        <v>3.5217</v>
      </c>
      <c r="L381" s="301">
        <v>5.2446</v>
      </c>
      <c r="M381" s="301">
        <v>0.4148</v>
      </c>
      <c r="N381" s="301">
        <v>4.1999</v>
      </c>
      <c r="O381" s="301">
        <v>0.1663</v>
      </c>
      <c r="P381" s="301">
        <v>0.569</v>
      </c>
      <c r="R381" s="301">
        <v>2.6764</v>
      </c>
      <c r="S381" s="301">
        <v>0.5602</v>
      </c>
      <c r="U381" s="301">
        <v>0.4832</v>
      </c>
      <c r="V381" s="301">
        <v>0.5629</v>
      </c>
      <c r="W381" s="301">
        <v>0.9506</v>
      </c>
      <c r="X381" s="301">
        <v>2.1632</v>
      </c>
      <c r="Y381" s="301">
        <v>1.8491</v>
      </c>
      <c r="Z381" s="301">
        <v>1.2253</v>
      </c>
      <c r="AA381" s="301">
        <v>6.0752</v>
      </c>
      <c r="AB381" s="301">
        <v>0.0797</v>
      </c>
      <c r="AC381" s="301">
        <v>0.2503</v>
      </c>
      <c r="AD381" s="301">
        <v>0.4099</v>
      </c>
      <c r="AE381" s="301">
        <v>1.6651</v>
      </c>
      <c r="AF381" s="301">
        <v>1.0572</v>
      </c>
      <c r="AG381" s="301">
        <v>0.103</v>
      </c>
      <c r="AH381" s="301">
        <v>3.5497</v>
      </c>
      <c r="AI381" s="301">
        <v>0.2926</v>
      </c>
      <c r="AJ381" s="301">
        <v>0.527</v>
      </c>
      <c r="AK381" s="301">
        <v>5.0996</v>
      </c>
      <c r="AL381">
        <v>126</v>
      </c>
      <c r="AM381" t="s">
        <v>413</v>
      </c>
    </row>
    <row r="382" spans="1:39" ht="12.75">
      <c r="A382" s="86">
        <v>41093</v>
      </c>
      <c r="B382" s="301">
        <v>0.1063</v>
      </c>
      <c r="C382" s="301">
        <v>3.3427</v>
      </c>
      <c r="D382" s="301">
        <v>3.4296</v>
      </c>
      <c r="E382" s="301">
        <v>0.4311</v>
      </c>
      <c r="F382" s="301">
        <v>3.2945</v>
      </c>
      <c r="G382" s="301">
        <v>2.6853</v>
      </c>
      <c r="H382" s="301">
        <v>2.6478</v>
      </c>
      <c r="I382" s="301">
        <v>4.211</v>
      </c>
      <c r="J382" s="301">
        <v>1.4786</v>
      </c>
      <c r="K382" s="301">
        <v>3.5052</v>
      </c>
      <c r="L382" s="301">
        <v>5.2451</v>
      </c>
      <c r="M382" s="301">
        <v>0.4131</v>
      </c>
      <c r="N382" s="301">
        <v>4.189</v>
      </c>
      <c r="O382" s="301">
        <v>0.1649</v>
      </c>
      <c r="P382" s="301">
        <v>0.5664</v>
      </c>
      <c r="R382" s="301">
        <v>2.666</v>
      </c>
      <c r="S382" s="301">
        <v>0.5598</v>
      </c>
      <c r="U382" s="301">
        <v>0.4827</v>
      </c>
      <c r="V382" s="301">
        <v>0.5617</v>
      </c>
      <c r="W382" s="301">
        <v>0.9462</v>
      </c>
      <c r="X382" s="301">
        <v>2.1531</v>
      </c>
      <c r="Y382" s="301">
        <v>1.857</v>
      </c>
      <c r="Z382" s="301">
        <v>1.2196</v>
      </c>
      <c r="AA382" s="301">
        <v>6.0442</v>
      </c>
      <c r="AB382" s="301">
        <v>0.0801</v>
      </c>
      <c r="AC382" s="301">
        <v>0.2506</v>
      </c>
      <c r="AD382" s="301">
        <v>0.4119</v>
      </c>
      <c r="AE382" s="301">
        <v>1.6839</v>
      </c>
      <c r="AF382" s="301">
        <v>1.0606</v>
      </c>
      <c r="AG382" s="301">
        <v>0.1027</v>
      </c>
      <c r="AH382" s="301">
        <v>3.5485</v>
      </c>
      <c r="AI382" s="301">
        <v>0.2945</v>
      </c>
      <c r="AJ382" s="301">
        <v>0.5263</v>
      </c>
      <c r="AK382" s="301">
        <v>5.082</v>
      </c>
      <c r="AL382">
        <v>127</v>
      </c>
      <c r="AM382" t="s">
        <v>413</v>
      </c>
    </row>
    <row r="383" spans="1:39" ht="12.75">
      <c r="A383" s="86">
        <v>41094</v>
      </c>
      <c r="B383" s="301">
        <v>0.1062</v>
      </c>
      <c r="C383" s="301">
        <v>3.3415</v>
      </c>
      <c r="D383" s="301">
        <v>3.4336</v>
      </c>
      <c r="E383" s="301">
        <v>0.4309</v>
      </c>
      <c r="F383" s="301">
        <v>3.2993</v>
      </c>
      <c r="G383" s="301">
        <v>2.6864</v>
      </c>
      <c r="H383" s="301">
        <v>2.6432</v>
      </c>
      <c r="I383" s="301">
        <v>4.2046</v>
      </c>
      <c r="J383" s="301">
        <v>1.4754</v>
      </c>
      <c r="K383" s="301">
        <v>3.5005</v>
      </c>
      <c r="L383" s="301">
        <v>5.229</v>
      </c>
      <c r="M383" s="301">
        <v>0.4131</v>
      </c>
      <c r="N383" s="301">
        <v>4.187</v>
      </c>
      <c r="O383" s="301">
        <v>0.1648</v>
      </c>
      <c r="P383" s="301">
        <v>0.5655</v>
      </c>
      <c r="R383" s="301">
        <v>2.6553</v>
      </c>
      <c r="S383" s="301">
        <v>0.5593</v>
      </c>
      <c r="U383" s="301">
        <v>0.4824</v>
      </c>
      <c r="V383" s="301">
        <v>0.561</v>
      </c>
      <c r="W383" s="301">
        <v>0.9405</v>
      </c>
      <c r="X383" s="301">
        <v>2.1498</v>
      </c>
      <c r="Y383" s="301">
        <v>1.8571</v>
      </c>
      <c r="Z383" s="301">
        <v>1.2177</v>
      </c>
      <c r="AA383" s="301">
        <v>6.0368</v>
      </c>
      <c r="AB383" s="301">
        <v>0.0801</v>
      </c>
      <c r="AC383" s="301">
        <v>0.2506</v>
      </c>
      <c r="AD383" s="301">
        <v>0.4125</v>
      </c>
      <c r="AE383" s="301">
        <v>1.6609</v>
      </c>
      <c r="AF383" s="301">
        <v>1.0597</v>
      </c>
      <c r="AG383" s="301">
        <v>0.1038</v>
      </c>
      <c r="AH383" s="301">
        <v>3.5403</v>
      </c>
      <c r="AI383" s="301">
        <v>0.294</v>
      </c>
      <c r="AJ383" s="301">
        <v>0.5263</v>
      </c>
      <c r="AK383" s="301">
        <v>5.0747</v>
      </c>
      <c r="AL383">
        <v>128</v>
      </c>
      <c r="AM383" t="s">
        <v>413</v>
      </c>
    </row>
    <row r="384" spans="1:39" ht="12.75">
      <c r="A384" s="86">
        <v>41095</v>
      </c>
      <c r="B384" s="301">
        <v>0.1071</v>
      </c>
      <c r="C384" s="301">
        <v>3.3743</v>
      </c>
      <c r="D384" s="301">
        <v>3.4666</v>
      </c>
      <c r="E384" s="301">
        <v>0.4352</v>
      </c>
      <c r="F384" s="301">
        <v>3.3314</v>
      </c>
      <c r="G384" s="301">
        <v>2.7111</v>
      </c>
      <c r="H384" s="301">
        <v>2.6665</v>
      </c>
      <c r="I384" s="301">
        <v>4.2221</v>
      </c>
      <c r="J384" s="301">
        <v>1.4716</v>
      </c>
      <c r="K384" s="301">
        <v>3.5142</v>
      </c>
      <c r="L384" s="301">
        <v>5.2573</v>
      </c>
      <c r="M384" s="301">
        <v>0.4173</v>
      </c>
      <c r="N384" s="301">
        <v>4.2367</v>
      </c>
      <c r="O384" s="301">
        <v>0.1651</v>
      </c>
      <c r="P384" s="301">
        <v>0.5677</v>
      </c>
      <c r="R384" s="301">
        <v>2.6562</v>
      </c>
      <c r="S384" s="301">
        <v>0.5629</v>
      </c>
      <c r="U384" s="301">
        <v>0.4875</v>
      </c>
      <c r="V384" s="301">
        <v>0.5634</v>
      </c>
      <c r="W384" s="301">
        <v>0.9422</v>
      </c>
      <c r="X384" s="301">
        <v>2.1588</v>
      </c>
      <c r="Y384" s="301">
        <v>1.8611</v>
      </c>
      <c r="Z384" s="301">
        <v>1.2228</v>
      </c>
      <c r="AA384" s="301">
        <v>6.0636</v>
      </c>
      <c r="AB384" s="301">
        <v>0.0809</v>
      </c>
      <c r="AC384" s="301">
        <v>0.2529</v>
      </c>
      <c r="AD384" s="301">
        <v>0.4136</v>
      </c>
      <c r="AE384" s="301">
        <v>1.6651</v>
      </c>
      <c r="AF384" s="301">
        <v>1.0677</v>
      </c>
      <c r="AG384" s="301">
        <v>0.1039</v>
      </c>
      <c r="AH384" s="301">
        <v>3.5938</v>
      </c>
      <c r="AI384" s="301">
        <v>0.2973</v>
      </c>
      <c r="AJ384" s="301">
        <v>0.5309</v>
      </c>
      <c r="AK384" s="301">
        <v>5.0958</v>
      </c>
      <c r="AL384">
        <v>129</v>
      </c>
      <c r="AM384" t="s">
        <v>413</v>
      </c>
    </row>
    <row r="385" spans="1:39" ht="12.75">
      <c r="A385" s="86">
        <v>41096</v>
      </c>
      <c r="B385" s="301">
        <v>0.1076</v>
      </c>
      <c r="C385" s="301">
        <v>3.4057</v>
      </c>
      <c r="D385" s="301">
        <v>3.4963</v>
      </c>
      <c r="E385" s="301">
        <v>0.4393</v>
      </c>
      <c r="F385" s="301">
        <v>3.3542</v>
      </c>
      <c r="G385" s="301">
        <v>2.7337</v>
      </c>
      <c r="H385" s="301">
        <v>2.6862</v>
      </c>
      <c r="I385" s="301">
        <v>4.2178</v>
      </c>
      <c r="J385" s="301">
        <v>1.4717</v>
      </c>
      <c r="K385" s="301">
        <v>3.5119</v>
      </c>
      <c r="L385" s="301">
        <v>5.2914</v>
      </c>
      <c r="M385" s="301">
        <v>0.4213</v>
      </c>
      <c r="N385" s="301">
        <v>4.2645</v>
      </c>
      <c r="O385" s="301">
        <v>0.1647</v>
      </c>
      <c r="P385" s="301">
        <v>0.5668</v>
      </c>
      <c r="R385" s="301">
        <v>2.6613</v>
      </c>
      <c r="S385" s="301">
        <v>0.5622</v>
      </c>
      <c r="U385" s="301">
        <v>0.4888</v>
      </c>
      <c r="V385" s="301">
        <v>0.5629</v>
      </c>
      <c r="W385" s="301">
        <v>0.936</v>
      </c>
      <c r="X385" s="301">
        <v>2.1566</v>
      </c>
      <c r="Y385" s="301">
        <v>1.8754</v>
      </c>
      <c r="Z385" s="301">
        <v>1.2215</v>
      </c>
      <c r="AA385" s="301">
        <v>6.0583</v>
      </c>
      <c r="AB385" s="301">
        <v>0.0814</v>
      </c>
      <c r="AC385" s="301">
        <v>0.2537</v>
      </c>
      <c r="AD385" s="301">
        <v>0.4167</v>
      </c>
      <c r="AE385" s="301">
        <v>1.6864</v>
      </c>
      <c r="AF385" s="301">
        <v>1.0733</v>
      </c>
      <c r="AG385" s="301">
        <v>0.1043</v>
      </c>
      <c r="AH385" s="301">
        <v>3.5915</v>
      </c>
      <c r="AI385" s="301">
        <v>0.2992</v>
      </c>
      <c r="AJ385" s="301">
        <v>0.5351</v>
      </c>
      <c r="AK385" s="301">
        <v>5.14</v>
      </c>
      <c r="AL385">
        <v>130</v>
      </c>
      <c r="AM385" t="s">
        <v>413</v>
      </c>
    </row>
    <row r="386" spans="1:39" ht="12.75">
      <c r="A386" s="86">
        <v>41099</v>
      </c>
      <c r="B386" s="301">
        <v>0.1086</v>
      </c>
      <c r="C386" s="301">
        <v>3.4538</v>
      </c>
      <c r="D386" s="301">
        <v>3.5067</v>
      </c>
      <c r="E386" s="301">
        <v>0.4454</v>
      </c>
      <c r="F386" s="301">
        <v>3.3829</v>
      </c>
      <c r="G386" s="301">
        <v>2.7404</v>
      </c>
      <c r="H386" s="301">
        <v>2.7129</v>
      </c>
      <c r="I386" s="301">
        <v>4.2401</v>
      </c>
      <c r="J386" s="301">
        <v>1.4658</v>
      </c>
      <c r="K386" s="301">
        <v>3.5305</v>
      </c>
      <c r="L386" s="301">
        <v>5.3442</v>
      </c>
      <c r="M386" s="301">
        <v>0.4267</v>
      </c>
      <c r="N386" s="301">
        <v>4.3373</v>
      </c>
      <c r="O386" s="301">
        <v>0.1653</v>
      </c>
      <c r="P386" s="301">
        <v>0.57</v>
      </c>
      <c r="R386" s="301">
        <v>2.6869</v>
      </c>
      <c r="S386" s="301">
        <v>0.5645</v>
      </c>
      <c r="U386" s="301">
        <v>0.4908</v>
      </c>
      <c r="V386" s="301">
        <v>0.5655</v>
      </c>
      <c r="W386" s="301">
        <v>0.9371</v>
      </c>
      <c r="X386" s="301">
        <v>2.168</v>
      </c>
      <c r="Y386" s="301">
        <v>1.8954</v>
      </c>
      <c r="Z386" s="301">
        <v>1.228</v>
      </c>
      <c r="AA386" s="301">
        <v>6.0925</v>
      </c>
      <c r="AB386" s="301">
        <v>0.0822</v>
      </c>
      <c r="AC386" s="301">
        <v>0.2559</v>
      </c>
      <c r="AD386" s="301">
        <v>0.4162</v>
      </c>
      <c r="AE386" s="301">
        <v>1.7031</v>
      </c>
      <c r="AF386" s="301">
        <v>1.0833</v>
      </c>
      <c r="AG386" s="301">
        <v>0.1044</v>
      </c>
      <c r="AH386" s="301">
        <v>3.6746</v>
      </c>
      <c r="AI386" s="301">
        <v>0.3024</v>
      </c>
      <c r="AJ386" s="301">
        <v>0.5421</v>
      </c>
      <c r="AK386" s="301">
        <v>5.1646</v>
      </c>
      <c r="AL386">
        <v>131</v>
      </c>
      <c r="AM386" t="s">
        <v>413</v>
      </c>
    </row>
    <row r="387" spans="1:39" ht="12.75">
      <c r="A387" s="86">
        <v>41100</v>
      </c>
      <c r="B387" s="301">
        <v>0.1078</v>
      </c>
      <c r="C387" s="301">
        <v>3.4145</v>
      </c>
      <c r="D387" s="301">
        <v>3.4912</v>
      </c>
      <c r="E387" s="301">
        <v>0.4403</v>
      </c>
      <c r="F387" s="301">
        <v>3.3516</v>
      </c>
      <c r="G387" s="301">
        <v>2.7208</v>
      </c>
      <c r="H387" s="301">
        <v>2.6936</v>
      </c>
      <c r="I387" s="301">
        <v>4.2041</v>
      </c>
      <c r="J387" s="301">
        <v>1.4637</v>
      </c>
      <c r="K387" s="301">
        <v>3.5004</v>
      </c>
      <c r="L387" s="301">
        <v>5.3045</v>
      </c>
      <c r="M387" s="301">
        <v>0.4223</v>
      </c>
      <c r="N387" s="301">
        <v>4.3062</v>
      </c>
      <c r="O387" s="301">
        <v>0.1653</v>
      </c>
      <c r="P387" s="301">
        <v>0.5652</v>
      </c>
      <c r="R387" s="301">
        <v>2.6646</v>
      </c>
      <c r="S387" s="301">
        <v>0.5613</v>
      </c>
      <c r="U387" s="301">
        <v>0.4891</v>
      </c>
      <c r="V387" s="301">
        <v>0.5609</v>
      </c>
      <c r="W387" s="301">
        <v>0.9301</v>
      </c>
      <c r="X387" s="301">
        <v>2.1496</v>
      </c>
      <c r="Y387" s="301">
        <v>1.8758</v>
      </c>
      <c r="Z387" s="301">
        <v>1.2176</v>
      </c>
      <c r="AA387" s="301">
        <v>6.0395</v>
      </c>
      <c r="AB387" s="301">
        <v>0.0816</v>
      </c>
      <c r="AC387" s="301">
        <v>0.2565</v>
      </c>
      <c r="AD387" s="301">
        <v>0.4166</v>
      </c>
      <c r="AE387" s="301">
        <v>1.6798</v>
      </c>
      <c r="AF387" s="301">
        <v>1.0734</v>
      </c>
      <c r="AG387" s="301">
        <v>0.1041</v>
      </c>
      <c r="AH387" s="301">
        <v>3.6185</v>
      </c>
      <c r="AI387" s="301">
        <v>0.2992</v>
      </c>
      <c r="AJ387" s="301">
        <v>0.5363</v>
      </c>
      <c r="AK387" s="301">
        <v>5.1455</v>
      </c>
      <c r="AL387">
        <v>132</v>
      </c>
      <c r="AM387" t="s">
        <v>413</v>
      </c>
    </row>
    <row r="388" spans="1:39" ht="12.75">
      <c r="A388" s="86">
        <v>41101</v>
      </c>
      <c r="B388" s="301">
        <v>0.1072</v>
      </c>
      <c r="C388" s="301">
        <v>3.4007</v>
      </c>
      <c r="D388" s="301">
        <v>3.4876</v>
      </c>
      <c r="E388" s="301">
        <v>0.4386</v>
      </c>
      <c r="F388" s="301">
        <v>3.3351</v>
      </c>
      <c r="G388" s="301">
        <v>2.7135</v>
      </c>
      <c r="H388" s="301">
        <v>2.6894</v>
      </c>
      <c r="I388" s="301">
        <v>4.1801</v>
      </c>
      <c r="J388" s="301">
        <v>1.4531</v>
      </c>
      <c r="K388" s="301">
        <v>3.4807</v>
      </c>
      <c r="L388" s="301">
        <v>5.2913</v>
      </c>
      <c r="M388" s="301">
        <v>0.4212</v>
      </c>
      <c r="N388" s="301">
        <v>4.2906</v>
      </c>
      <c r="O388" s="301">
        <v>0.1648</v>
      </c>
      <c r="P388" s="301">
        <v>0.5621</v>
      </c>
      <c r="R388" s="301">
        <v>2.6539</v>
      </c>
      <c r="S388" s="301">
        <v>0.5586</v>
      </c>
      <c r="U388" s="301">
        <v>0.4884</v>
      </c>
      <c r="V388" s="301">
        <v>0.5581</v>
      </c>
      <c r="W388" s="301">
        <v>0.9243</v>
      </c>
      <c r="X388" s="301">
        <v>2.1373</v>
      </c>
      <c r="Y388" s="301">
        <v>1.8795</v>
      </c>
      <c r="Z388" s="301">
        <v>1.2106</v>
      </c>
      <c r="AA388" s="301">
        <v>6.0033</v>
      </c>
      <c r="AB388" s="301">
        <v>0.0812</v>
      </c>
      <c r="AC388" s="301">
        <v>0.2556</v>
      </c>
      <c r="AD388" s="301">
        <v>0.4158</v>
      </c>
      <c r="AE388" s="301">
        <v>1.6719</v>
      </c>
      <c r="AF388" s="301">
        <v>1.07</v>
      </c>
      <c r="AG388" s="301">
        <v>0.1038</v>
      </c>
      <c r="AH388" s="301">
        <v>3.6149</v>
      </c>
      <c r="AI388" s="301">
        <v>0.298</v>
      </c>
      <c r="AJ388" s="301">
        <v>0.5341</v>
      </c>
      <c r="AK388" s="301">
        <v>5.1219</v>
      </c>
      <c r="AL388">
        <v>133</v>
      </c>
      <c r="AM388" t="s">
        <v>413</v>
      </c>
    </row>
    <row r="389" spans="1:39" ht="12.75">
      <c r="A389" s="86">
        <v>41102</v>
      </c>
      <c r="B389" s="301">
        <v>0.1083</v>
      </c>
      <c r="C389" s="301">
        <v>3.4383</v>
      </c>
      <c r="D389" s="301">
        <v>3.4892</v>
      </c>
      <c r="E389" s="301">
        <v>0.4434</v>
      </c>
      <c r="F389" s="301">
        <v>3.3633</v>
      </c>
      <c r="G389" s="301">
        <v>2.7138</v>
      </c>
      <c r="H389" s="301">
        <v>2.7071</v>
      </c>
      <c r="I389" s="301">
        <v>4.2008</v>
      </c>
      <c r="J389" s="301">
        <v>1.4527</v>
      </c>
      <c r="K389" s="301">
        <v>3.4979</v>
      </c>
      <c r="L389" s="301">
        <v>5.3175</v>
      </c>
      <c r="M389" s="301">
        <v>0.4248</v>
      </c>
      <c r="N389" s="301">
        <v>4.3356</v>
      </c>
      <c r="O389" s="301">
        <v>0.1654</v>
      </c>
      <c r="P389" s="301">
        <v>0.5649</v>
      </c>
      <c r="R389" s="301">
        <v>2.6714</v>
      </c>
      <c r="S389" s="301">
        <v>0.5621</v>
      </c>
      <c r="U389" s="301">
        <v>0.4901</v>
      </c>
      <c r="V389" s="301">
        <v>0.5609</v>
      </c>
      <c r="W389" s="301">
        <v>0.9282</v>
      </c>
      <c r="X389" s="301">
        <v>2.1479</v>
      </c>
      <c r="Y389" s="301">
        <v>1.8961</v>
      </c>
      <c r="Z389" s="301">
        <v>1.2166</v>
      </c>
      <c r="AA389" s="301">
        <v>6.033</v>
      </c>
      <c r="AB389" s="301">
        <v>0.0817</v>
      </c>
      <c r="AC389" s="301">
        <v>0.2569</v>
      </c>
      <c r="AD389" s="301">
        <v>0.4131</v>
      </c>
      <c r="AE389" s="301">
        <v>1.6889</v>
      </c>
      <c r="AF389" s="301">
        <v>1.0779</v>
      </c>
      <c r="AG389" s="301">
        <v>0.1052</v>
      </c>
      <c r="AH389" s="301">
        <v>3.6389</v>
      </c>
      <c r="AI389" s="301">
        <v>0.2983</v>
      </c>
      <c r="AJ389" s="301">
        <v>0.5395</v>
      </c>
      <c r="AK389" s="301">
        <v>5.1575</v>
      </c>
      <c r="AL389">
        <v>134</v>
      </c>
      <c r="AM389" t="s">
        <v>413</v>
      </c>
    </row>
    <row r="390" spans="1:39" ht="12.75">
      <c r="A390" s="86">
        <v>41103</v>
      </c>
      <c r="B390" s="301">
        <v>0.1088</v>
      </c>
      <c r="C390" s="301">
        <v>3.4463</v>
      </c>
      <c r="D390" s="301">
        <v>3.5041</v>
      </c>
      <c r="E390" s="301">
        <v>0.4442</v>
      </c>
      <c r="F390" s="301">
        <v>3.3902</v>
      </c>
      <c r="G390" s="301">
        <v>2.7316</v>
      </c>
      <c r="H390" s="301">
        <v>2.7162</v>
      </c>
      <c r="I390" s="301">
        <v>4.2055</v>
      </c>
      <c r="J390" s="301">
        <v>1.4501</v>
      </c>
      <c r="K390" s="301">
        <v>3.5018</v>
      </c>
      <c r="L390" s="301">
        <v>5.3217</v>
      </c>
      <c r="M390" s="301">
        <v>0.4263</v>
      </c>
      <c r="N390" s="301">
        <v>4.3479</v>
      </c>
      <c r="O390" s="301">
        <v>0.1656</v>
      </c>
      <c r="P390" s="301">
        <v>0.5654</v>
      </c>
      <c r="R390" s="301">
        <v>2.671</v>
      </c>
      <c r="S390" s="301">
        <v>0.5653</v>
      </c>
      <c r="U390" s="301">
        <v>0.4907</v>
      </c>
      <c r="V390" s="301">
        <v>0.5622</v>
      </c>
      <c r="W390" s="301">
        <v>0.9256</v>
      </c>
      <c r="X390" s="301">
        <v>2.1503</v>
      </c>
      <c r="Y390" s="301">
        <v>1.8952</v>
      </c>
      <c r="Z390" s="301">
        <v>1.218</v>
      </c>
      <c r="AA390" s="301">
        <v>6.0415</v>
      </c>
      <c r="AB390" s="301">
        <v>0.0821</v>
      </c>
      <c r="AC390" s="301">
        <v>0.2573</v>
      </c>
      <c r="AD390" s="301">
        <v>0.4143</v>
      </c>
      <c r="AE390" s="301">
        <v>1.6911</v>
      </c>
      <c r="AF390" s="301">
        <v>1.0821</v>
      </c>
      <c r="AG390" s="301">
        <v>0.1054</v>
      </c>
      <c r="AH390" s="301">
        <v>3.6497</v>
      </c>
      <c r="AI390" s="301">
        <v>0.2996</v>
      </c>
      <c r="AJ390" s="301">
        <v>0.5402</v>
      </c>
      <c r="AK390" s="301">
        <v>5.1789</v>
      </c>
      <c r="AL390">
        <v>135</v>
      </c>
      <c r="AM390" t="s">
        <v>413</v>
      </c>
    </row>
    <row r="391" spans="1:39" ht="12.75">
      <c r="A391" s="86">
        <v>41106</v>
      </c>
      <c r="B391" s="301">
        <v>0.1087</v>
      </c>
      <c r="C391" s="301">
        <v>3.4353</v>
      </c>
      <c r="D391" s="301">
        <v>3.51</v>
      </c>
      <c r="E391" s="301">
        <v>0.443</v>
      </c>
      <c r="F391" s="301">
        <v>3.3855</v>
      </c>
      <c r="G391" s="301">
        <v>2.7321</v>
      </c>
      <c r="H391" s="301">
        <v>2.7144</v>
      </c>
      <c r="I391" s="301">
        <v>4.1939</v>
      </c>
      <c r="J391" s="301">
        <v>1.4527</v>
      </c>
      <c r="K391" s="301">
        <v>3.4924</v>
      </c>
      <c r="L391" s="301">
        <v>5.3381</v>
      </c>
      <c r="M391" s="301">
        <v>0.4239</v>
      </c>
      <c r="N391" s="301">
        <v>4.3458</v>
      </c>
      <c r="O391" s="301">
        <v>0.165</v>
      </c>
      <c r="P391" s="301">
        <v>0.5638</v>
      </c>
      <c r="R391" s="301">
        <v>2.6662</v>
      </c>
      <c r="S391" s="301">
        <v>0.562</v>
      </c>
      <c r="U391" s="301">
        <v>0.4865</v>
      </c>
      <c r="V391" s="301">
        <v>0.5605</v>
      </c>
      <c r="W391" s="301">
        <v>0.9209</v>
      </c>
      <c r="X391" s="301">
        <v>2.1443</v>
      </c>
      <c r="Y391" s="301">
        <v>1.8943</v>
      </c>
      <c r="Z391" s="301">
        <v>1.2146</v>
      </c>
      <c r="AA391" s="301">
        <v>6.0249</v>
      </c>
      <c r="AB391" s="301">
        <v>0.0821</v>
      </c>
      <c r="AC391" s="301">
        <v>0.2582</v>
      </c>
      <c r="AD391" s="301">
        <v>0.4152</v>
      </c>
      <c r="AE391" s="301">
        <v>1.6825</v>
      </c>
      <c r="AF391" s="301">
        <v>1.0818</v>
      </c>
      <c r="AG391" s="301">
        <v>0.1051</v>
      </c>
      <c r="AH391" s="301">
        <v>3.6214</v>
      </c>
      <c r="AI391" s="301">
        <v>0.2994</v>
      </c>
      <c r="AJ391" s="301">
        <v>0.5386</v>
      </c>
      <c r="AK391" s="301">
        <v>5.1637</v>
      </c>
      <c r="AL391">
        <v>136</v>
      </c>
      <c r="AM391" t="s">
        <v>413</v>
      </c>
    </row>
    <row r="392" spans="1:39" ht="12.75">
      <c r="A392" s="86">
        <v>41107</v>
      </c>
      <c r="B392" s="301">
        <v>0.1078</v>
      </c>
      <c r="C392" s="301">
        <v>3.3973</v>
      </c>
      <c r="D392" s="301">
        <v>3.4955</v>
      </c>
      <c r="E392" s="301">
        <v>0.438</v>
      </c>
      <c r="F392" s="301">
        <v>3.347</v>
      </c>
      <c r="G392" s="301">
        <v>2.714</v>
      </c>
      <c r="H392" s="301">
        <v>2.6923</v>
      </c>
      <c r="I392" s="301">
        <v>4.1782</v>
      </c>
      <c r="J392" s="301">
        <v>1.453</v>
      </c>
      <c r="K392" s="301">
        <v>3.4791</v>
      </c>
      <c r="L392" s="301">
        <v>5.3077</v>
      </c>
      <c r="M392" s="301">
        <v>0.4199</v>
      </c>
      <c r="N392" s="301">
        <v>4.2961</v>
      </c>
      <c r="O392" s="301">
        <v>0.1647</v>
      </c>
      <c r="P392" s="301">
        <v>0.5615</v>
      </c>
      <c r="R392" s="301">
        <v>2.6794</v>
      </c>
      <c r="S392" s="301">
        <v>0.5591</v>
      </c>
      <c r="U392" s="301">
        <v>0.4847</v>
      </c>
      <c r="V392" s="301">
        <v>0.5584</v>
      </c>
      <c r="W392" s="301">
        <v>0.9154</v>
      </c>
      <c r="X392" s="301">
        <v>2.1363</v>
      </c>
      <c r="Y392" s="301">
        <v>1.8799</v>
      </c>
      <c r="Z392" s="301">
        <v>1.2101</v>
      </c>
      <c r="AA392" s="301">
        <v>6.0027</v>
      </c>
      <c r="AB392" s="301">
        <v>0.0814</v>
      </c>
      <c r="AC392" s="301">
        <v>0.2574</v>
      </c>
      <c r="AD392" s="301">
        <v>0.4151</v>
      </c>
      <c r="AE392" s="301">
        <v>1.6696</v>
      </c>
      <c r="AF392" s="301">
        <v>1.0737</v>
      </c>
      <c r="AG392" s="301">
        <v>0.1049</v>
      </c>
      <c r="AH392" s="301">
        <v>3.5876</v>
      </c>
      <c r="AI392" s="301">
        <v>0.2972</v>
      </c>
      <c r="AJ392" s="301">
        <v>0.533</v>
      </c>
      <c r="AK392" s="301">
        <v>5.1504</v>
      </c>
      <c r="AL392">
        <v>137</v>
      </c>
      <c r="AM392" t="s">
        <v>413</v>
      </c>
    </row>
    <row r="393" spans="1:39" ht="12.75">
      <c r="A393" s="86">
        <v>41108</v>
      </c>
      <c r="B393" s="301">
        <v>0.1073</v>
      </c>
      <c r="C393" s="301">
        <v>3.395</v>
      </c>
      <c r="D393" s="301">
        <v>3.5004</v>
      </c>
      <c r="E393" s="301">
        <v>0.4377</v>
      </c>
      <c r="F393" s="301">
        <v>3.352</v>
      </c>
      <c r="G393" s="301">
        <v>2.6998</v>
      </c>
      <c r="H393" s="301">
        <v>2.6952</v>
      </c>
      <c r="I393" s="301">
        <v>4.1705</v>
      </c>
      <c r="J393" s="301">
        <v>1.4592</v>
      </c>
      <c r="K393" s="301">
        <v>3.473</v>
      </c>
      <c r="L393" s="301">
        <v>5.305</v>
      </c>
      <c r="M393" s="301">
        <v>0.4214</v>
      </c>
      <c r="N393" s="301">
        <v>4.2948</v>
      </c>
      <c r="O393" s="301">
        <v>0.165</v>
      </c>
      <c r="P393" s="301">
        <v>0.5605</v>
      </c>
      <c r="R393" s="301">
        <v>2.6842</v>
      </c>
      <c r="S393" s="301">
        <v>0.5576</v>
      </c>
      <c r="U393" s="301">
        <v>0.4876</v>
      </c>
      <c r="V393" s="301">
        <v>0.5575</v>
      </c>
      <c r="W393" s="301">
        <v>0.9135</v>
      </c>
      <c r="X393" s="301">
        <v>2.1324</v>
      </c>
      <c r="Y393" s="301">
        <v>1.8793</v>
      </c>
      <c r="Z393" s="301">
        <v>1.2078</v>
      </c>
      <c r="AA393" s="301">
        <v>5.9904</v>
      </c>
      <c r="AB393" s="301">
        <v>0.0815</v>
      </c>
      <c r="AC393" s="301">
        <v>0.258</v>
      </c>
      <c r="AD393" s="301">
        <v>0.415</v>
      </c>
      <c r="AE393" s="301">
        <v>1.6803</v>
      </c>
      <c r="AF393" s="301">
        <v>1.0752</v>
      </c>
      <c r="AG393" s="301">
        <v>0.1049</v>
      </c>
      <c r="AH393" s="301">
        <v>3.5869</v>
      </c>
      <c r="AI393" s="301">
        <v>0.2973</v>
      </c>
      <c r="AJ393" s="301">
        <v>0.533</v>
      </c>
      <c r="AK393" s="301">
        <v>5.1142</v>
      </c>
      <c r="AL393">
        <v>138</v>
      </c>
      <c r="AM393" t="s">
        <v>413</v>
      </c>
    </row>
    <row r="394" spans="1:39" ht="12.75">
      <c r="A394" s="86">
        <v>41109</v>
      </c>
      <c r="B394" s="301">
        <v>0.107</v>
      </c>
      <c r="C394" s="301">
        <v>3.39</v>
      </c>
      <c r="D394" s="301">
        <v>3.5267</v>
      </c>
      <c r="E394" s="301">
        <v>0.437</v>
      </c>
      <c r="F394" s="301">
        <v>3.354</v>
      </c>
      <c r="G394" s="301">
        <v>2.719</v>
      </c>
      <c r="H394" s="301">
        <v>2.6962</v>
      </c>
      <c r="I394" s="301">
        <v>4.1596</v>
      </c>
      <c r="J394" s="301">
        <v>1.4616</v>
      </c>
      <c r="K394" s="301">
        <v>3.463</v>
      </c>
      <c r="L394" s="301">
        <v>5.3049</v>
      </c>
      <c r="M394" s="301">
        <v>0.4194</v>
      </c>
      <c r="N394" s="301">
        <v>4.3109</v>
      </c>
      <c r="O394" s="301">
        <v>0.1643</v>
      </c>
      <c r="P394" s="301">
        <v>0.5592</v>
      </c>
      <c r="R394" s="301">
        <v>2.6967</v>
      </c>
      <c r="S394" s="301">
        <v>0.5555</v>
      </c>
      <c r="U394" s="301">
        <v>0.489</v>
      </c>
      <c r="V394" s="301">
        <v>0.5535</v>
      </c>
      <c r="W394" s="301">
        <v>0.9112</v>
      </c>
      <c r="X394" s="301">
        <v>2.1268</v>
      </c>
      <c r="Y394" s="301">
        <v>1.88</v>
      </c>
      <c r="Z394" s="301">
        <v>1.2047</v>
      </c>
      <c r="AA394" s="301">
        <v>5.9756</v>
      </c>
      <c r="AB394" s="301">
        <v>0.0812</v>
      </c>
      <c r="AC394" s="301">
        <v>0.2582</v>
      </c>
      <c r="AD394" s="301">
        <v>0.4159</v>
      </c>
      <c r="AE394" s="301">
        <v>1.6756</v>
      </c>
      <c r="AF394" s="301">
        <v>1.0748</v>
      </c>
      <c r="AG394" s="301">
        <v>0.1055</v>
      </c>
      <c r="AH394" s="301">
        <v>3.5784</v>
      </c>
      <c r="AI394" s="301">
        <v>0.2974</v>
      </c>
      <c r="AJ394" s="301">
        <v>0.5318</v>
      </c>
      <c r="AK394" s="301">
        <v>5.1135</v>
      </c>
      <c r="AL394">
        <v>139</v>
      </c>
      <c r="AM394" t="s">
        <v>413</v>
      </c>
    </row>
    <row r="395" spans="1:39" ht="12.75">
      <c r="A395" s="86">
        <v>41110</v>
      </c>
      <c r="B395" s="301">
        <v>0.1073</v>
      </c>
      <c r="C395" s="301">
        <v>3.3961</v>
      </c>
      <c r="D395" s="301">
        <v>3.5385</v>
      </c>
      <c r="E395" s="301">
        <v>0.4378</v>
      </c>
      <c r="F395" s="301">
        <v>3.3698</v>
      </c>
      <c r="G395" s="301">
        <v>2.7282</v>
      </c>
      <c r="H395" s="301">
        <v>2.7076</v>
      </c>
      <c r="I395" s="301">
        <v>4.1629</v>
      </c>
      <c r="J395" s="301">
        <v>1.4617</v>
      </c>
      <c r="K395" s="301">
        <v>3.4662</v>
      </c>
      <c r="L395" s="301">
        <v>5.3299</v>
      </c>
      <c r="M395" s="301">
        <v>0.4204</v>
      </c>
      <c r="N395" s="301">
        <v>4.3208</v>
      </c>
      <c r="O395" s="301">
        <v>0.1637</v>
      </c>
      <c r="P395" s="301">
        <v>0.5596</v>
      </c>
      <c r="R395" s="301">
        <v>2.7246</v>
      </c>
      <c r="S395" s="301">
        <v>0.5607</v>
      </c>
      <c r="U395" s="301">
        <v>0.4899</v>
      </c>
      <c r="V395" s="301">
        <v>0.5545</v>
      </c>
      <c r="W395" s="301">
        <v>0.9097</v>
      </c>
      <c r="X395" s="301">
        <v>2.1285</v>
      </c>
      <c r="Y395" s="301">
        <v>1.8841</v>
      </c>
      <c r="Z395" s="301">
        <v>1.2056</v>
      </c>
      <c r="AA395" s="301">
        <v>5.9795</v>
      </c>
      <c r="AB395" s="301">
        <v>0.0811</v>
      </c>
      <c r="AC395" s="301">
        <v>0.2567</v>
      </c>
      <c r="AD395" s="301">
        <v>0.4146</v>
      </c>
      <c r="AE395" s="301">
        <v>1.687</v>
      </c>
      <c r="AF395" s="301">
        <v>1.0778</v>
      </c>
      <c r="AG395" s="301">
        <v>0.1063</v>
      </c>
      <c r="AH395" s="301">
        <v>3.5839</v>
      </c>
      <c r="AI395" s="301">
        <v>0.2979</v>
      </c>
      <c r="AJ395" s="301">
        <v>0.5328</v>
      </c>
      <c r="AK395" s="301">
        <v>5.1105</v>
      </c>
      <c r="AL395">
        <v>140</v>
      </c>
      <c r="AM395" t="s">
        <v>413</v>
      </c>
    </row>
    <row r="396" spans="1:39" ht="12.75">
      <c r="A396" s="86">
        <v>41113</v>
      </c>
      <c r="B396" s="301">
        <v>0.1088</v>
      </c>
      <c r="C396" s="301">
        <v>3.4529</v>
      </c>
      <c r="D396" s="301">
        <v>3.5531</v>
      </c>
      <c r="E396" s="301">
        <v>0.4451</v>
      </c>
      <c r="F396" s="301">
        <v>3.3996</v>
      </c>
      <c r="G396" s="301">
        <v>2.7322</v>
      </c>
      <c r="H396" s="301">
        <v>2.7419</v>
      </c>
      <c r="I396" s="301">
        <v>4.18</v>
      </c>
      <c r="J396" s="301">
        <v>1.4521</v>
      </c>
      <c r="K396" s="301">
        <v>3.4809</v>
      </c>
      <c r="L396" s="301">
        <v>5.3665</v>
      </c>
      <c r="M396" s="301">
        <v>0.4273</v>
      </c>
      <c r="N396" s="301">
        <v>4.4235</v>
      </c>
      <c r="O396" s="301">
        <v>0.1634</v>
      </c>
      <c r="P396" s="301">
        <v>0.5619</v>
      </c>
      <c r="R396" s="301">
        <v>2.7697</v>
      </c>
      <c r="S396" s="301">
        <v>0.568</v>
      </c>
      <c r="U396" s="301">
        <v>0.4948</v>
      </c>
      <c r="V396" s="301">
        <v>0.5571</v>
      </c>
      <c r="W396" s="301">
        <v>0.9089</v>
      </c>
      <c r="X396" s="301">
        <v>2.1372</v>
      </c>
      <c r="Y396" s="301">
        <v>1.901</v>
      </c>
      <c r="Z396" s="301">
        <v>1.2106</v>
      </c>
      <c r="AA396" s="301">
        <v>6.0049</v>
      </c>
      <c r="AB396" s="301">
        <v>0.0821</v>
      </c>
      <c r="AC396" s="301">
        <v>0.257</v>
      </c>
      <c r="AD396" s="301">
        <v>0.4118</v>
      </c>
      <c r="AE396" s="301">
        <v>1.7063</v>
      </c>
      <c r="AF396" s="301">
        <v>1.0887</v>
      </c>
      <c r="AG396" s="301">
        <v>0.1066</v>
      </c>
      <c r="AH396" s="301">
        <v>3.6382</v>
      </c>
      <c r="AI396" s="301">
        <v>0.3008</v>
      </c>
      <c r="AJ396" s="301">
        <v>0.5407</v>
      </c>
      <c r="AK396" s="301">
        <v>5.159</v>
      </c>
      <c r="AL396">
        <v>141</v>
      </c>
      <c r="AM396" t="s">
        <v>413</v>
      </c>
    </row>
    <row r="397" spans="1:39" ht="12.75">
      <c r="A397" s="86">
        <v>41114</v>
      </c>
      <c r="B397" s="301">
        <v>0.1093</v>
      </c>
      <c r="C397" s="301">
        <v>3.4678</v>
      </c>
      <c r="D397" s="301">
        <v>3.5696</v>
      </c>
      <c r="E397" s="301">
        <v>0.4471</v>
      </c>
      <c r="F397" s="301">
        <v>3.4024</v>
      </c>
      <c r="G397" s="301">
        <v>2.745</v>
      </c>
      <c r="H397" s="301">
        <v>2.7541</v>
      </c>
      <c r="I397" s="301">
        <v>4.2011</v>
      </c>
      <c r="J397" s="301">
        <v>1.4597</v>
      </c>
      <c r="K397" s="301">
        <v>3.499</v>
      </c>
      <c r="L397" s="301">
        <v>5.3798</v>
      </c>
      <c r="M397" s="301">
        <v>0.429</v>
      </c>
      <c r="N397" s="301">
        <v>4.4336</v>
      </c>
      <c r="O397" s="301">
        <v>0.1642</v>
      </c>
      <c r="P397" s="301">
        <v>0.5648</v>
      </c>
      <c r="R397" s="301">
        <v>2.7838</v>
      </c>
      <c r="S397" s="301">
        <v>0.5693</v>
      </c>
      <c r="U397" s="301">
        <v>0.4991</v>
      </c>
      <c r="V397" s="301">
        <v>0.56</v>
      </c>
      <c r="W397" s="301">
        <v>0.9068</v>
      </c>
      <c r="X397" s="301">
        <v>2.148</v>
      </c>
      <c r="Y397" s="301">
        <v>1.9032</v>
      </c>
      <c r="Z397" s="301">
        <v>1.2167</v>
      </c>
      <c r="AA397" s="301">
        <v>6.0348</v>
      </c>
      <c r="AB397" s="301">
        <v>0.0825</v>
      </c>
      <c r="AC397" s="301">
        <v>0.2549</v>
      </c>
      <c r="AD397" s="301">
        <v>0.4099</v>
      </c>
      <c r="AE397" s="301">
        <v>1.7009</v>
      </c>
      <c r="AF397" s="301">
        <v>1.0914</v>
      </c>
      <c r="AG397" s="301">
        <v>0.1062</v>
      </c>
      <c r="AH397" s="301">
        <v>3.6507</v>
      </c>
      <c r="AI397" s="301">
        <v>0.3022</v>
      </c>
      <c r="AJ397" s="301">
        <v>0.5431</v>
      </c>
      <c r="AK397" s="301">
        <v>5.2078</v>
      </c>
      <c r="AL397">
        <v>142</v>
      </c>
      <c r="AM397" t="s">
        <v>413</v>
      </c>
    </row>
    <row r="398" spans="1:39" ht="12.75">
      <c r="A398" s="86">
        <v>41115</v>
      </c>
      <c r="B398" s="301">
        <v>0.1095</v>
      </c>
      <c r="C398" s="301">
        <v>3.4719</v>
      </c>
      <c r="D398" s="301">
        <v>3.5628</v>
      </c>
      <c r="E398" s="301">
        <v>0.4474</v>
      </c>
      <c r="F398" s="301">
        <v>3.4051</v>
      </c>
      <c r="G398" s="301">
        <v>2.7267</v>
      </c>
      <c r="H398" s="301">
        <v>2.756</v>
      </c>
      <c r="I398" s="301">
        <v>4.2087</v>
      </c>
      <c r="J398" s="301">
        <v>1.4551</v>
      </c>
      <c r="K398" s="301">
        <v>3.5043</v>
      </c>
      <c r="L398" s="301">
        <v>5.3727</v>
      </c>
      <c r="M398" s="301">
        <v>0.4294</v>
      </c>
      <c r="N398" s="301">
        <v>4.436</v>
      </c>
      <c r="O398" s="301">
        <v>0.1649</v>
      </c>
      <c r="P398" s="301">
        <v>0.5658</v>
      </c>
      <c r="R398" s="301">
        <v>2.7891</v>
      </c>
      <c r="S398" s="301">
        <v>0.5706</v>
      </c>
      <c r="U398" s="301">
        <v>0.4984</v>
      </c>
      <c r="V398" s="301">
        <v>0.561</v>
      </c>
      <c r="W398" s="301">
        <v>0.9113</v>
      </c>
      <c r="X398" s="301">
        <v>2.1519</v>
      </c>
      <c r="Y398" s="301">
        <v>1.9017</v>
      </c>
      <c r="Z398" s="301">
        <v>1.2189</v>
      </c>
      <c r="AA398" s="301">
        <v>6.0444</v>
      </c>
      <c r="AB398" s="301">
        <v>0.0824</v>
      </c>
      <c r="AC398" s="301">
        <v>0.2542</v>
      </c>
      <c r="AD398" s="301">
        <v>0.4098</v>
      </c>
      <c r="AE398" s="301">
        <v>1.695</v>
      </c>
      <c r="AF398" s="301">
        <v>1.0927</v>
      </c>
      <c r="AG398" s="301">
        <v>0.1056</v>
      </c>
      <c r="AH398" s="301">
        <v>3.6495</v>
      </c>
      <c r="AI398" s="301">
        <v>0.3016</v>
      </c>
      <c r="AJ398" s="301">
        <v>0.5432</v>
      </c>
      <c r="AK398" s="301">
        <v>5.217</v>
      </c>
      <c r="AL398">
        <v>143</v>
      </c>
      <c r="AM398" t="s">
        <v>413</v>
      </c>
    </row>
    <row r="399" spans="1:39" ht="12.75">
      <c r="A399" s="86">
        <v>41116</v>
      </c>
      <c r="B399" s="301">
        <v>0.1091</v>
      </c>
      <c r="C399" s="301">
        <v>3.4523</v>
      </c>
      <c r="D399" s="301">
        <v>3.5615</v>
      </c>
      <c r="E399" s="301">
        <v>0.4451</v>
      </c>
      <c r="F399" s="301">
        <v>3.3985</v>
      </c>
      <c r="G399" s="301">
        <v>2.7306</v>
      </c>
      <c r="H399" s="301">
        <v>2.7493</v>
      </c>
      <c r="I399" s="301">
        <v>4.1853</v>
      </c>
      <c r="J399" s="301">
        <v>1.4558</v>
      </c>
      <c r="K399" s="301">
        <v>3.4847</v>
      </c>
      <c r="L399" s="301">
        <v>5.3445</v>
      </c>
      <c r="M399" s="301">
        <v>0.4269</v>
      </c>
      <c r="N399" s="301">
        <v>4.4174</v>
      </c>
      <c r="O399" s="301">
        <v>0.164</v>
      </c>
      <c r="P399" s="301">
        <v>0.5627</v>
      </c>
      <c r="R399" s="301">
        <v>2.7736</v>
      </c>
      <c r="S399" s="301">
        <v>0.5676</v>
      </c>
      <c r="U399" s="301">
        <v>0.4955</v>
      </c>
      <c r="V399" s="301">
        <v>0.5567</v>
      </c>
      <c r="W399" s="301">
        <v>0.9054</v>
      </c>
      <c r="X399" s="301">
        <v>2.1399</v>
      </c>
      <c r="Y399" s="301">
        <v>1.8891</v>
      </c>
      <c r="Z399" s="301">
        <v>1.2121</v>
      </c>
      <c r="AA399" s="301">
        <v>6.009</v>
      </c>
      <c r="AB399" s="301">
        <v>0.0819</v>
      </c>
      <c r="AC399" s="301">
        <v>0.2534</v>
      </c>
      <c r="AD399" s="301">
        <v>0.4088</v>
      </c>
      <c r="AE399" s="301">
        <v>1.6985</v>
      </c>
      <c r="AF399" s="301">
        <v>1.0886</v>
      </c>
      <c r="AG399" s="301">
        <v>0.1056</v>
      </c>
      <c r="AH399" s="301">
        <v>3.6318</v>
      </c>
      <c r="AI399" s="301">
        <v>0.3011</v>
      </c>
      <c r="AJ399" s="301">
        <v>0.5408</v>
      </c>
      <c r="AK399" s="301">
        <v>5.1755</v>
      </c>
      <c r="AL399">
        <v>144</v>
      </c>
      <c r="AM399" t="s">
        <v>413</v>
      </c>
    </row>
    <row r="400" spans="1:39" ht="12.75">
      <c r="A400" s="86">
        <v>41117</v>
      </c>
      <c r="B400" s="301">
        <v>0.1072</v>
      </c>
      <c r="C400" s="301">
        <v>3.3843</v>
      </c>
      <c r="D400" s="301">
        <v>3.5229</v>
      </c>
      <c r="E400" s="301">
        <v>0.4363</v>
      </c>
      <c r="F400" s="301">
        <v>3.3501</v>
      </c>
      <c r="G400" s="301">
        <v>2.7132</v>
      </c>
      <c r="H400" s="301">
        <v>2.7009</v>
      </c>
      <c r="I400" s="301">
        <v>4.1459</v>
      </c>
      <c r="J400" s="301">
        <v>1.4575</v>
      </c>
      <c r="K400" s="301">
        <v>3.4523</v>
      </c>
      <c r="L400" s="301">
        <v>5.3088</v>
      </c>
      <c r="M400" s="301">
        <v>0.4175</v>
      </c>
      <c r="N400" s="301">
        <v>4.3315</v>
      </c>
      <c r="O400" s="301">
        <v>0.1632</v>
      </c>
      <c r="P400" s="301">
        <v>0.5573</v>
      </c>
      <c r="R400" s="301">
        <v>2.7584</v>
      </c>
      <c r="S400" s="301">
        <v>0.5602</v>
      </c>
      <c r="U400" s="301">
        <v>0.4913</v>
      </c>
      <c r="V400" s="301">
        <v>0.5509</v>
      </c>
      <c r="W400" s="301">
        <v>0.899</v>
      </c>
      <c r="X400" s="301">
        <v>2.1198</v>
      </c>
      <c r="Y400" s="301">
        <v>1.8625</v>
      </c>
      <c r="Z400" s="301">
        <v>1.2007</v>
      </c>
      <c r="AA400" s="301">
        <v>5.9516</v>
      </c>
      <c r="AB400" s="301">
        <v>0.0808</v>
      </c>
      <c r="AC400" s="301">
        <v>0.2515</v>
      </c>
      <c r="AD400" s="301">
        <v>0.4097</v>
      </c>
      <c r="AE400" s="301">
        <v>1.6749</v>
      </c>
      <c r="AF400" s="301">
        <v>1.0706</v>
      </c>
      <c r="AG400" s="301">
        <v>0.1048</v>
      </c>
      <c r="AH400" s="301">
        <v>3.5666</v>
      </c>
      <c r="AI400" s="301">
        <v>0.2972</v>
      </c>
      <c r="AJ400" s="301">
        <v>0.5305</v>
      </c>
      <c r="AK400" s="301">
        <v>5.0881</v>
      </c>
      <c r="AL400">
        <v>145</v>
      </c>
      <c r="AM400" t="s">
        <v>413</v>
      </c>
    </row>
    <row r="401" spans="1:39" ht="12.75">
      <c r="A401" s="86">
        <v>41120</v>
      </c>
      <c r="B401" s="301">
        <v>0.107</v>
      </c>
      <c r="C401" s="301">
        <v>3.378</v>
      </c>
      <c r="D401" s="301">
        <v>3.5328</v>
      </c>
      <c r="E401" s="301">
        <v>0.4354</v>
      </c>
      <c r="F401" s="301">
        <v>3.3595</v>
      </c>
      <c r="G401" s="301">
        <v>2.7283</v>
      </c>
      <c r="H401" s="301">
        <v>2.7053</v>
      </c>
      <c r="I401" s="301">
        <v>4.1411</v>
      </c>
      <c r="J401" s="301">
        <v>1.47</v>
      </c>
      <c r="K401" s="301">
        <v>3.4475</v>
      </c>
      <c r="L401" s="301">
        <v>5.2962</v>
      </c>
      <c r="M401" s="301">
        <v>0.4173</v>
      </c>
      <c r="N401" s="301">
        <v>4.3188</v>
      </c>
      <c r="O401" s="301">
        <v>0.1634</v>
      </c>
      <c r="P401" s="301">
        <v>0.5567</v>
      </c>
      <c r="R401" s="301">
        <v>2.7746</v>
      </c>
      <c r="S401" s="301">
        <v>0.5553</v>
      </c>
      <c r="U401" s="301">
        <v>0.4932</v>
      </c>
      <c r="V401" s="301">
        <v>0.5505</v>
      </c>
      <c r="W401" s="301">
        <v>0.9059</v>
      </c>
      <c r="X401" s="301">
        <v>2.1173</v>
      </c>
      <c r="Y401" s="301">
        <v>1.862</v>
      </c>
      <c r="Z401" s="301">
        <v>1.1993</v>
      </c>
      <c r="AA401" s="301">
        <v>5.9473</v>
      </c>
      <c r="AB401" s="301">
        <v>0.0805</v>
      </c>
      <c r="AC401" s="301">
        <v>0.2541</v>
      </c>
      <c r="AD401" s="301">
        <v>0.411</v>
      </c>
      <c r="AE401" s="301">
        <v>1.6699</v>
      </c>
      <c r="AF401" s="301">
        <v>1.0709</v>
      </c>
      <c r="AG401" s="301">
        <v>0.1048</v>
      </c>
      <c r="AH401" s="301">
        <v>3.5566</v>
      </c>
      <c r="AI401" s="301">
        <v>0.2967</v>
      </c>
      <c r="AJ401" s="301">
        <v>0.5292</v>
      </c>
      <c r="AK401" s="301">
        <v>5.0782</v>
      </c>
      <c r="AL401">
        <v>146</v>
      </c>
      <c r="AM401" t="s">
        <v>413</v>
      </c>
    </row>
    <row r="402" spans="1:39" ht="12.75">
      <c r="A402" s="86">
        <v>41121</v>
      </c>
      <c r="B402" s="301">
        <v>0.1064</v>
      </c>
      <c r="C402" s="301">
        <v>3.3508</v>
      </c>
      <c r="D402" s="301">
        <v>3.5228</v>
      </c>
      <c r="E402" s="301">
        <v>0.4321</v>
      </c>
      <c r="F402" s="301">
        <v>3.3466</v>
      </c>
      <c r="G402" s="301">
        <v>2.7129</v>
      </c>
      <c r="H402" s="301">
        <v>2.6926</v>
      </c>
      <c r="I402" s="301">
        <v>4.1086</v>
      </c>
      <c r="J402" s="301">
        <v>1.4743</v>
      </c>
      <c r="K402" s="301">
        <v>3.4206</v>
      </c>
      <c r="L402" s="301">
        <v>5.2567</v>
      </c>
      <c r="M402" s="301">
        <v>0.4134</v>
      </c>
      <c r="N402" s="301">
        <v>4.2836</v>
      </c>
      <c r="O402" s="301">
        <v>0.1623</v>
      </c>
      <c r="P402" s="301">
        <v>0.5523</v>
      </c>
      <c r="R402" s="301">
        <v>2.7665</v>
      </c>
      <c r="S402" s="301">
        <v>0.5542</v>
      </c>
      <c r="U402" s="301">
        <v>0.4918</v>
      </c>
      <c r="V402" s="301">
        <v>0.5466</v>
      </c>
      <c r="W402" s="301">
        <v>0.9002</v>
      </c>
      <c r="X402" s="301">
        <v>2.1007</v>
      </c>
      <c r="Y402" s="301">
        <v>1.866</v>
      </c>
      <c r="Z402" s="301">
        <v>1.1899</v>
      </c>
      <c r="AA402" s="301">
        <v>5.9006</v>
      </c>
      <c r="AB402" s="301">
        <v>0.0803</v>
      </c>
      <c r="AC402" s="301">
        <v>0.2528</v>
      </c>
      <c r="AD402" s="301">
        <v>0.408</v>
      </c>
      <c r="AE402" s="301">
        <v>1.6416</v>
      </c>
      <c r="AF402" s="301">
        <v>1.0707</v>
      </c>
      <c r="AG402" s="301">
        <v>0.1038</v>
      </c>
      <c r="AH402" s="301">
        <v>3.5325</v>
      </c>
      <c r="AI402" s="301">
        <v>0.2964</v>
      </c>
      <c r="AJ402" s="301">
        <v>0.5268</v>
      </c>
      <c r="AK402" s="301">
        <v>5.0587</v>
      </c>
      <c r="AL402">
        <v>147</v>
      </c>
      <c r="AM402" t="s">
        <v>413</v>
      </c>
    </row>
    <row r="403" spans="1:39" ht="12.75">
      <c r="A403" s="86">
        <v>41122</v>
      </c>
      <c r="B403" s="301">
        <v>0.1061</v>
      </c>
      <c r="C403" s="301">
        <v>3.342</v>
      </c>
      <c r="D403" s="301">
        <v>3.52</v>
      </c>
      <c r="E403" s="301">
        <v>0.431</v>
      </c>
      <c r="F403" s="301">
        <v>3.3381</v>
      </c>
      <c r="G403" s="301">
        <v>2.7184</v>
      </c>
      <c r="H403" s="301">
        <v>2.6851</v>
      </c>
      <c r="I403" s="301">
        <v>4.1147</v>
      </c>
      <c r="J403" s="301">
        <v>1.4672</v>
      </c>
      <c r="K403" s="301">
        <v>3.4253</v>
      </c>
      <c r="L403" s="301">
        <v>5.2283</v>
      </c>
      <c r="M403" s="301">
        <v>0.4122</v>
      </c>
      <c r="N403" s="301">
        <v>4.2779</v>
      </c>
      <c r="O403" s="301">
        <v>0.1624</v>
      </c>
      <c r="P403" s="301">
        <v>0.553</v>
      </c>
      <c r="R403" s="301">
        <v>2.7721</v>
      </c>
      <c r="S403" s="301">
        <v>0.5556</v>
      </c>
      <c r="U403" s="301">
        <v>0.4937</v>
      </c>
      <c r="V403" s="301">
        <v>0.5474</v>
      </c>
      <c r="W403" s="301">
        <v>0.8968</v>
      </c>
      <c r="X403" s="301">
        <v>2.1038</v>
      </c>
      <c r="Y403" s="301">
        <v>1.8651</v>
      </c>
      <c r="Z403" s="301">
        <v>1.1917</v>
      </c>
      <c r="AA403" s="301">
        <v>5.9077</v>
      </c>
      <c r="AB403" s="301">
        <v>0.08</v>
      </c>
      <c r="AC403" s="301">
        <v>0.2514</v>
      </c>
      <c r="AD403" s="301">
        <v>0.4062</v>
      </c>
      <c r="AE403" s="301">
        <v>1.6249</v>
      </c>
      <c r="AF403" s="301">
        <v>1.073</v>
      </c>
      <c r="AG403" s="301">
        <v>0.1033</v>
      </c>
      <c r="AH403" s="301">
        <v>3.5222</v>
      </c>
      <c r="AI403" s="301">
        <v>0.2966</v>
      </c>
      <c r="AJ403" s="301">
        <v>0.5247</v>
      </c>
      <c r="AK403" s="301">
        <v>5.0524</v>
      </c>
      <c r="AL403">
        <v>148</v>
      </c>
      <c r="AM403" t="s">
        <v>413</v>
      </c>
    </row>
    <row r="404" spans="1:39" ht="12.75">
      <c r="A404" s="86">
        <v>41123</v>
      </c>
      <c r="B404" s="301">
        <v>0.1061</v>
      </c>
      <c r="C404" s="301">
        <v>3.3462</v>
      </c>
      <c r="D404" s="301">
        <v>3.5122</v>
      </c>
      <c r="E404" s="301">
        <v>0.4315</v>
      </c>
      <c r="F404" s="301">
        <v>3.3309</v>
      </c>
      <c r="G404" s="301">
        <v>2.7137</v>
      </c>
      <c r="H404" s="301">
        <v>2.6834</v>
      </c>
      <c r="I404" s="301">
        <v>4.1063</v>
      </c>
      <c r="J404" s="301">
        <v>1.4626</v>
      </c>
      <c r="K404" s="301">
        <v>3.4161</v>
      </c>
      <c r="L404" s="301">
        <v>5.1975</v>
      </c>
      <c r="M404" s="301">
        <v>0.4129</v>
      </c>
      <c r="N404" s="301">
        <v>4.2696</v>
      </c>
      <c r="O404" s="301">
        <v>0.1625</v>
      </c>
      <c r="P404" s="301">
        <v>0.5518</v>
      </c>
      <c r="R404" s="301">
        <v>2.7713</v>
      </c>
      <c r="S404" s="301">
        <v>0.5565</v>
      </c>
      <c r="U404" s="301">
        <v>0.4943</v>
      </c>
      <c r="V404" s="301">
        <v>0.5455</v>
      </c>
      <c r="W404" s="301">
        <v>0.8909</v>
      </c>
      <c r="X404" s="301">
        <v>2.0996</v>
      </c>
      <c r="Y404" s="301">
        <v>1.8618</v>
      </c>
      <c r="Z404" s="301">
        <v>1.1892</v>
      </c>
      <c r="AA404" s="301">
        <v>5.8939</v>
      </c>
      <c r="AB404" s="301">
        <v>0.08</v>
      </c>
      <c r="AC404" s="301">
        <v>0.2504</v>
      </c>
      <c r="AD404" s="301">
        <v>0.4024</v>
      </c>
      <c r="AE404" s="301">
        <v>1.6365</v>
      </c>
      <c r="AF404" s="301">
        <v>1.0699</v>
      </c>
      <c r="AG404" s="301">
        <v>0.1032</v>
      </c>
      <c r="AH404" s="301">
        <v>3.531</v>
      </c>
      <c r="AI404" s="301">
        <v>0.2956</v>
      </c>
      <c r="AJ404" s="301">
        <v>0.5255</v>
      </c>
      <c r="AK404" s="301">
        <v>5.0383</v>
      </c>
      <c r="AL404">
        <v>149</v>
      </c>
      <c r="AM404" t="s">
        <v>413</v>
      </c>
    </row>
    <row r="405" spans="1:39" ht="12.75">
      <c r="A405" s="86">
        <v>41124</v>
      </c>
      <c r="B405" s="301">
        <v>0.1063</v>
      </c>
      <c r="C405" s="301">
        <v>3.3548</v>
      </c>
      <c r="D405" s="301">
        <v>3.5251</v>
      </c>
      <c r="E405" s="301">
        <v>0.4326</v>
      </c>
      <c r="F405" s="301">
        <v>3.3434</v>
      </c>
      <c r="G405" s="301">
        <v>2.7338</v>
      </c>
      <c r="H405" s="301">
        <v>2.6905</v>
      </c>
      <c r="I405" s="301">
        <v>4.0967</v>
      </c>
      <c r="J405" s="301">
        <v>1.4699</v>
      </c>
      <c r="K405" s="301">
        <v>3.4108</v>
      </c>
      <c r="L405" s="301">
        <v>5.2137</v>
      </c>
      <c r="M405" s="301">
        <v>0.4135</v>
      </c>
      <c r="N405" s="301">
        <v>4.2891</v>
      </c>
      <c r="O405" s="301">
        <v>0.162</v>
      </c>
      <c r="P405" s="301">
        <v>0.5505</v>
      </c>
      <c r="R405" s="301">
        <v>2.7709</v>
      </c>
      <c r="S405" s="301">
        <v>0.5555</v>
      </c>
      <c r="U405" s="301">
        <v>0.494</v>
      </c>
      <c r="V405" s="301">
        <v>0.5444</v>
      </c>
      <c r="W405" s="301">
        <v>0.8825</v>
      </c>
      <c r="X405" s="301">
        <v>2.0946</v>
      </c>
      <c r="Y405" s="301">
        <v>1.8741</v>
      </c>
      <c r="Z405" s="301">
        <v>1.1865</v>
      </c>
      <c r="AA405" s="301">
        <v>5.881</v>
      </c>
      <c r="AB405" s="301">
        <v>0.0801</v>
      </c>
      <c r="AC405" s="301">
        <v>0.2523</v>
      </c>
      <c r="AD405" s="301">
        <v>0.4047</v>
      </c>
      <c r="AE405" s="301">
        <v>1.6368</v>
      </c>
      <c r="AF405" s="301">
        <v>1.0719</v>
      </c>
      <c r="AG405" s="301">
        <v>0.1033</v>
      </c>
      <c r="AH405" s="301">
        <v>3.5405</v>
      </c>
      <c r="AI405" s="301">
        <v>0.2956</v>
      </c>
      <c r="AJ405" s="301">
        <v>0.5264</v>
      </c>
      <c r="AK405" s="301">
        <v>4.9985</v>
      </c>
      <c r="AL405">
        <v>150</v>
      </c>
      <c r="AM405" t="s">
        <v>413</v>
      </c>
    </row>
    <row r="406" spans="1:39" ht="12.75">
      <c r="A406" s="86">
        <v>41127</v>
      </c>
      <c r="B406" s="301">
        <v>0.1039</v>
      </c>
      <c r="C406" s="301">
        <v>3.2752</v>
      </c>
      <c r="D406" s="301">
        <v>3.4564</v>
      </c>
      <c r="E406" s="301">
        <v>0.4223</v>
      </c>
      <c r="F406" s="301">
        <v>3.2746</v>
      </c>
      <c r="G406" s="301">
        <v>2.6779</v>
      </c>
      <c r="H406" s="301">
        <v>2.6369</v>
      </c>
      <c r="I406" s="301">
        <v>4.0486</v>
      </c>
      <c r="J406" s="301">
        <v>1.4631</v>
      </c>
      <c r="K406" s="301">
        <v>3.3709</v>
      </c>
      <c r="L406" s="301">
        <v>5.1016</v>
      </c>
      <c r="M406" s="301">
        <v>0.4036</v>
      </c>
      <c r="N406" s="301">
        <v>4.1786</v>
      </c>
      <c r="O406" s="301">
        <v>0.1605</v>
      </c>
      <c r="P406" s="301">
        <v>0.544</v>
      </c>
      <c r="R406" s="301">
        <v>2.7333</v>
      </c>
      <c r="S406" s="301">
        <v>0.5472</v>
      </c>
      <c r="U406" s="301">
        <v>0.4852</v>
      </c>
      <c r="V406" s="301">
        <v>0.5386</v>
      </c>
      <c r="W406" s="301">
        <v>0.8826</v>
      </c>
      <c r="X406" s="301">
        <v>2.07</v>
      </c>
      <c r="Y406" s="301">
        <v>1.8425</v>
      </c>
      <c r="Z406" s="301">
        <v>1.1725</v>
      </c>
      <c r="AA406" s="301">
        <v>5.8144</v>
      </c>
      <c r="AB406" s="301">
        <v>0.0783</v>
      </c>
      <c r="AC406" s="301">
        <v>0.2498</v>
      </c>
      <c r="AD406" s="301">
        <v>0.4013</v>
      </c>
      <c r="AE406" s="301">
        <v>1.6141</v>
      </c>
      <c r="AF406" s="301">
        <v>1.0545</v>
      </c>
      <c r="AG406" s="301">
        <v>0.1029</v>
      </c>
      <c r="AH406" s="301">
        <v>3.46</v>
      </c>
      <c r="AI406" s="301">
        <v>0.2899</v>
      </c>
      <c r="AJ406" s="301">
        <v>0.5138</v>
      </c>
      <c r="AK406" s="301">
        <v>4.9838</v>
      </c>
      <c r="AL406">
        <v>151</v>
      </c>
      <c r="AM406" t="s">
        <v>413</v>
      </c>
    </row>
    <row r="407" spans="1:39" ht="12.75">
      <c r="A407" s="86">
        <v>41128</v>
      </c>
      <c r="B407" s="301">
        <v>0.1037</v>
      </c>
      <c r="C407" s="301">
        <v>3.2606</v>
      </c>
      <c r="D407" s="301">
        <v>3.4472</v>
      </c>
      <c r="E407" s="301">
        <v>0.4204</v>
      </c>
      <c r="F407" s="301">
        <v>3.2636</v>
      </c>
      <c r="G407" s="301">
        <v>2.6734</v>
      </c>
      <c r="H407" s="301">
        <v>2.6263</v>
      </c>
      <c r="I407" s="301">
        <v>4.0465</v>
      </c>
      <c r="J407" s="301">
        <v>1.4605</v>
      </c>
      <c r="K407" s="301">
        <v>3.3675</v>
      </c>
      <c r="L407" s="301">
        <v>5.0906</v>
      </c>
      <c r="M407" s="301">
        <v>0.4022</v>
      </c>
      <c r="N407" s="301">
        <v>4.1581</v>
      </c>
      <c r="O407" s="301">
        <v>0.1612</v>
      </c>
      <c r="P407" s="301">
        <v>0.5437</v>
      </c>
      <c r="R407" s="301">
        <v>2.7302</v>
      </c>
      <c r="S407" s="301">
        <v>0.5492</v>
      </c>
      <c r="U407" s="301">
        <v>0.4858</v>
      </c>
      <c r="V407" s="301">
        <v>0.5386</v>
      </c>
      <c r="W407" s="301">
        <v>0.8878</v>
      </c>
      <c r="X407" s="301">
        <v>2.069</v>
      </c>
      <c r="Y407" s="301">
        <v>1.8268</v>
      </c>
      <c r="Z407" s="301">
        <v>1.1719</v>
      </c>
      <c r="AA407" s="301">
        <v>5.8114</v>
      </c>
      <c r="AB407" s="301">
        <v>0.0781</v>
      </c>
      <c r="AC407" s="301">
        <v>0.2478</v>
      </c>
      <c r="AD407" s="301">
        <v>0.3982</v>
      </c>
      <c r="AE407" s="301">
        <v>1.6052</v>
      </c>
      <c r="AF407" s="301">
        <v>1.0508</v>
      </c>
      <c r="AG407" s="301">
        <v>0.1032</v>
      </c>
      <c r="AH407" s="301">
        <v>3.4425</v>
      </c>
      <c r="AI407" s="301">
        <v>0.2888</v>
      </c>
      <c r="AJ407" s="301">
        <v>0.5121</v>
      </c>
      <c r="AK407" s="301">
        <v>4.9351</v>
      </c>
      <c r="AL407">
        <v>152</v>
      </c>
      <c r="AM407" t="s">
        <v>413</v>
      </c>
    </row>
    <row r="408" spans="1:39" ht="12.75">
      <c r="A408" s="86">
        <v>41129</v>
      </c>
      <c r="B408" s="301">
        <v>0.1049</v>
      </c>
      <c r="C408" s="301">
        <v>3.304</v>
      </c>
      <c r="D408" s="301">
        <v>3.4867</v>
      </c>
      <c r="E408" s="301">
        <v>0.426</v>
      </c>
      <c r="F408" s="301">
        <v>3.3136</v>
      </c>
      <c r="G408" s="301">
        <v>2.6899</v>
      </c>
      <c r="H408" s="301">
        <v>2.6565</v>
      </c>
      <c r="I408" s="301">
        <v>4.0918</v>
      </c>
      <c r="J408" s="301">
        <v>1.4725</v>
      </c>
      <c r="K408" s="301">
        <v>3.4074</v>
      </c>
      <c r="L408" s="301">
        <v>5.1508</v>
      </c>
      <c r="M408" s="301">
        <v>0.4083</v>
      </c>
      <c r="N408" s="301">
        <v>4.2186</v>
      </c>
      <c r="O408" s="301">
        <v>0.1627</v>
      </c>
      <c r="P408" s="301">
        <v>0.5496</v>
      </c>
      <c r="R408" s="301">
        <v>2.7675</v>
      </c>
      <c r="S408" s="301">
        <v>0.5592</v>
      </c>
      <c r="U408" s="301">
        <v>0.4929</v>
      </c>
      <c r="V408" s="301">
        <v>0.545</v>
      </c>
      <c r="W408" s="301">
        <v>0.8994</v>
      </c>
      <c r="X408" s="301">
        <v>2.0921</v>
      </c>
      <c r="Y408" s="301">
        <v>1.8466</v>
      </c>
      <c r="Z408" s="301">
        <v>1.1851</v>
      </c>
      <c r="AA408" s="301">
        <v>5.8765</v>
      </c>
      <c r="AB408" s="301">
        <v>0.079</v>
      </c>
      <c r="AC408" s="301">
        <v>0.2494</v>
      </c>
      <c r="AD408" s="301">
        <v>0.4033</v>
      </c>
      <c r="AE408" s="301">
        <v>1.6282</v>
      </c>
      <c r="AF408" s="301">
        <v>1.0644</v>
      </c>
      <c r="AG408" s="301">
        <v>0.1043</v>
      </c>
      <c r="AH408" s="301">
        <v>3.4865</v>
      </c>
      <c r="AI408" s="301">
        <v>0.2927</v>
      </c>
      <c r="AJ408" s="301">
        <v>0.5193</v>
      </c>
      <c r="AK408" s="301">
        <v>4.9795</v>
      </c>
      <c r="AL408">
        <v>153</v>
      </c>
      <c r="AM408" t="s">
        <v>413</v>
      </c>
    </row>
    <row r="409" spans="1:39" ht="12.75">
      <c r="A409" s="86">
        <v>41130</v>
      </c>
      <c r="B409" s="301">
        <v>0.1045</v>
      </c>
      <c r="C409" s="301">
        <v>3.2915</v>
      </c>
      <c r="D409" s="301">
        <v>3.4798</v>
      </c>
      <c r="E409" s="301">
        <v>0.4244</v>
      </c>
      <c r="F409" s="301">
        <v>3.3109</v>
      </c>
      <c r="G409" s="301">
        <v>2.6736</v>
      </c>
      <c r="H409" s="301">
        <v>2.6429</v>
      </c>
      <c r="I409" s="301">
        <v>4.0615</v>
      </c>
      <c r="J409" s="301">
        <v>1.4652</v>
      </c>
      <c r="K409" s="301">
        <v>3.3816</v>
      </c>
      <c r="L409" s="301">
        <v>5.1509</v>
      </c>
      <c r="M409" s="301">
        <v>0.4053</v>
      </c>
      <c r="N409" s="301">
        <v>4.1925</v>
      </c>
      <c r="O409" s="301">
        <v>0.1616</v>
      </c>
      <c r="P409" s="301">
        <v>0.5457</v>
      </c>
      <c r="R409" s="301">
        <v>2.7548</v>
      </c>
      <c r="S409" s="301">
        <v>0.5569</v>
      </c>
      <c r="U409" s="301">
        <v>0.4912</v>
      </c>
      <c r="V409" s="301">
        <v>0.5412</v>
      </c>
      <c r="W409" s="301">
        <v>0.8952</v>
      </c>
      <c r="X409" s="301">
        <v>2.0766</v>
      </c>
      <c r="Y409" s="301">
        <v>1.8425</v>
      </c>
      <c r="Z409" s="301">
        <v>1.1763</v>
      </c>
      <c r="AA409" s="301">
        <v>5.8347</v>
      </c>
      <c r="AB409" s="301">
        <v>0.0788</v>
      </c>
      <c r="AC409" s="301">
        <v>0.2502</v>
      </c>
      <c r="AD409" s="301">
        <v>0.4062</v>
      </c>
      <c r="AE409" s="301">
        <v>1.6284</v>
      </c>
      <c r="AF409" s="301">
        <v>1.06</v>
      </c>
      <c r="AG409" s="301">
        <v>0.1042</v>
      </c>
      <c r="AH409" s="301">
        <v>3.4732</v>
      </c>
      <c r="AI409" s="301">
        <v>0.2921</v>
      </c>
      <c r="AJ409" s="301">
        <v>0.5176</v>
      </c>
      <c r="AK409" s="301">
        <v>4.9742</v>
      </c>
      <c r="AL409">
        <v>154</v>
      </c>
      <c r="AM409" t="s">
        <v>413</v>
      </c>
    </row>
    <row r="410" spans="1:39" ht="12.75">
      <c r="A410" s="86">
        <v>41131</v>
      </c>
      <c r="B410" s="301">
        <v>0.1054</v>
      </c>
      <c r="C410" s="301">
        <v>3.3195</v>
      </c>
      <c r="D410" s="301">
        <v>3.4919</v>
      </c>
      <c r="E410" s="301">
        <v>0.4279</v>
      </c>
      <c r="F410" s="301">
        <v>3.3428</v>
      </c>
      <c r="G410" s="301">
        <v>2.6886</v>
      </c>
      <c r="H410" s="301">
        <v>2.6639</v>
      </c>
      <c r="I410" s="301">
        <v>4.0771</v>
      </c>
      <c r="J410" s="301">
        <v>1.4661</v>
      </c>
      <c r="K410" s="301">
        <v>3.3949</v>
      </c>
      <c r="L410" s="301">
        <v>5.1786</v>
      </c>
      <c r="M410" s="301">
        <v>0.4103</v>
      </c>
      <c r="N410" s="301">
        <v>4.2287</v>
      </c>
      <c r="O410" s="301">
        <v>0.1625</v>
      </c>
      <c r="P410" s="301">
        <v>0.5478</v>
      </c>
      <c r="R410" s="301">
        <v>2.7707</v>
      </c>
      <c r="S410" s="301">
        <v>0.5618</v>
      </c>
      <c r="U410" s="301">
        <v>0.4957</v>
      </c>
      <c r="V410" s="301">
        <v>0.5444</v>
      </c>
      <c r="W410" s="301">
        <v>0.8977</v>
      </c>
      <c r="X410" s="301">
        <v>2.0846</v>
      </c>
      <c r="Y410" s="301">
        <v>1.8535</v>
      </c>
      <c r="Z410" s="301">
        <v>1.1808</v>
      </c>
      <c r="AA410" s="301">
        <v>5.8571</v>
      </c>
      <c r="AB410" s="301">
        <v>0.0792</v>
      </c>
      <c r="AC410" s="301">
        <v>0.2527</v>
      </c>
      <c r="AD410" s="301">
        <v>0.4081</v>
      </c>
      <c r="AE410" s="301">
        <v>1.6477</v>
      </c>
      <c r="AF410" s="301">
        <v>1.0652</v>
      </c>
      <c r="AG410" s="301">
        <v>0.1041</v>
      </c>
      <c r="AH410" s="301">
        <v>3.505</v>
      </c>
      <c r="AI410" s="301">
        <v>0.2938</v>
      </c>
      <c r="AJ410" s="301">
        <v>0.5219</v>
      </c>
      <c r="AK410" s="301">
        <v>5.0013</v>
      </c>
      <c r="AL410">
        <v>155</v>
      </c>
      <c r="AM410" t="s">
        <v>413</v>
      </c>
    </row>
    <row r="411" spans="1:39" ht="12.75">
      <c r="A411" s="86">
        <v>41134</v>
      </c>
      <c r="B411" s="301">
        <v>0.1056</v>
      </c>
      <c r="C411" s="301">
        <v>3.3202</v>
      </c>
      <c r="D411" s="301">
        <v>3.4998</v>
      </c>
      <c r="E411" s="301">
        <v>0.4281</v>
      </c>
      <c r="F411" s="301">
        <v>3.3468</v>
      </c>
      <c r="G411" s="301">
        <v>2.6907</v>
      </c>
      <c r="H411" s="301">
        <v>2.6646</v>
      </c>
      <c r="I411" s="301">
        <v>4.0823</v>
      </c>
      <c r="J411" s="301">
        <v>1.4643</v>
      </c>
      <c r="K411" s="301">
        <v>3.3989</v>
      </c>
      <c r="L411" s="301">
        <v>5.2017</v>
      </c>
      <c r="M411" s="301">
        <v>0.4108</v>
      </c>
      <c r="N411" s="301">
        <v>4.2477</v>
      </c>
      <c r="O411" s="301">
        <v>0.1627</v>
      </c>
      <c r="P411" s="301">
        <v>0.5485</v>
      </c>
      <c r="R411" s="301">
        <v>2.7733</v>
      </c>
      <c r="S411" s="301">
        <v>0.5596</v>
      </c>
      <c r="U411" s="301">
        <v>0.4967</v>
      </c>
      <c r="V411" s="301">
        <v>0.5468</v>
      </c>
      <c r="W411" s="301">
        <v>0.9013</v>
      </c>
      <c r="X411" s="301">
        <v>2.0873</v>
      </c>
      <c r="Y411" s="301">
        <v>1.8541</v>
      </c>
      <c r="Z411" s="301">
        <v>1.1823</v>
      </c>
      <c r="AA411" s="301">
        <v>5.8641</v>
      </c>
      <c r="AB411" s="301">
        <v>0.0792</v>
      </c>
      <c r="AC411" s="301">
        <v>0.2531</v>
      </c>
      <c r="AD411" s="301">
        <v>0.4079</v>
      </c>
      <c r="AE411" s="301">
        <v>1.6475</v>
      </c>
      <c r="AF411" s="301">
        <v>1.0633</v>
      </c>
      <c r="AG411" s="301">
        <v>0.1043</v>
      </c>
      <c r="AH411" s="301">
        <v>3.5035</v>
      </c>
      <c r="AI411" s="301">
        <v>0.2937</v>
      </c>
      <c r="AJ411" s="301">
        <v>0.5219</v>
      </c>
      <c r="AK411" s="301">
        <v>5.016</v>
      </c>
      <c r="AL411">
        <v>156</v>
      </c>
      <c r="AM411" t="s">
        <v>413</v>
      </c>
    </row>
    <row r="412" spans="1:39" ht="12.75">
      <c r="A412" s="86">
        <v>41135</v>
      </c>
      <c r="B412" s="301">
        <v>0.1053</v>
      </c>
      <c r="C412" s="301">
        <v>3.3059</v>
      </c>
      <c r="D412" s="301">
        <v>3.4785</v>
      </c>
      <c r="E412" s="301">
        <v>0.4261</v>
      </c>
      <c r="F412" s="301">
        <v>3.3299</v>
      </c>
      <c r="G412" s="301">
        <v>2.6748</v>
      </c>
      <c r="H412" s="301">
        <v>2.6534</v>
      </c>
      <c r="I412" s="301">
        <v>4.0888</v>
      </c>
      <c r="J412" s="301">
        <v>1.4652</v>
      </c>
      <c r="K412" s="301">
        <v>3.4048</v>
      </c>
      <c r="L412" s="301">
        <v>5.1869</v>
      </c>
      <c r="M412" s="301">
        <v>0.4077</v>
      </c>
      <c r="N412" s="301">
        <v>4.2098</v>
      </c>
      <c r="O412" s="301">
        <v>0.163</v>
      </c>
      <c r="P412" s="301">
        <v>0.5494</v>
      </c>
      <c r="R412" s="301">
        <v>2.7672</v>
      </c>
      <c r="S412" s="301">
        <v>0.5596</v>
      </c>
      <c r="U412" s="301">
        <v>0.4952</v>
      </c>
      <c r="V412" s="301">
        <v>0.5481</v>
      </c>
      <c r="W412" s="301">
        <v>0.9055</v>
      </c>
      <c r="X412" s="301">
        <v>2.0907</v>
      </c>
      <c r="Y412" s="301">
        <v>1.8406</v>
      </c>
      <c r="Z412" s="301">
        <v>1.1842</v>
      </c>
      <c r="AA412" s="301">
        <v>5.8722</v>
      </c>
      <c r="AB412" s="301">
        <v>0.0788</v>
      </c>
      <c r="AC412" s="301">
        <v>0.2525</v>
      </c>
      <c r="AD412" s="301">
        <v>0.4072</v>
      </c>
      <c r="AE412" s="301">
        <v>1.635</v>
      </c>
      <c r="AF412" s="301">
        <v>1.0609</v>
      </c>
      <c r="AG412" s="301">
        <v>0.1041</v>
      </c>
      <c r="AH412" s="301">
        <v>3.4862</v>
      </c>
      <c r="AI412" s="301">
        <v>0.2927</v>
      </c>
      <c r="AJ412" s="301">
        <v>0.5198</v>
      </c>
      <c r="AK412" s="301">
        <v>5.0064</v>
      </c>
      <c r="AL412">
        <v>157</v>
      </c>
      <c r="AM412" t="s">
        <v>413</v>
      </c>
    </row>
    <row r="413" spans="1:39" ht="12.75">
      <c r="A413" s="86">
        <v>41137</v>
      </c>
      <c r="B413" s="301">
        <v>0.1056</v>
      </c>
      <c r="C413" s="301">
        <v>3.3253</v>
      </c>
      <c r="D413" s="301">
        <v>3.4887</v>
      </c>
      <c r="E413" s="301">
        <v>0.4287</v>
      </c>
      <c r="F413" s="301">
        <v>3.3627</v>
      </c>
      <c r="G413" s="301">
        <v>2.6855</v>
      </c>
      <c r="H413" s="301">
        <v>2.658</v>
      </c>
      <c r="I413" s="301">
        <v>4.082</v>
      </c>
      <c r="J413" s="301">
        <v>1.4668</v>
      </c>
      <c r="K413" s="301">
        <v>3.3998</v>
      </c>
      <c r="L413" s="301">
        <v>5.2216</v>
      </c>
      <c r="M413" s="301">
        <v>0.4105</v>
      </c>
      <c r="N413" s="301">
        <v>4.2007</v>
      </c>
      <c r="O413" s="301">
        <v>0.1639</v>
      </c>
      <c r="P413" s="301">
        <v>0.5484</v>
      </c>
      <c r="R413" s="301">
        <v>2.7694</v>
      </c>
      <c r="S413" s="301">
        <v>0.5574</v>
      </c>
      <c r="U413" s="301">
        <v>0.496</v>
      </c>
      <c r="V413" s="301">
        <v>0.548</v>
      </c>
      <c r="W413" s="301">
        <v>0.909</v>
      </c>
      <c r="X413" s="301">
        <v>2.0871</v>
      </c>
      <c r="Y413" s="301">
        <v>1.8483</v>
      </c>
      <c r="Z413" s="301">
        <v>1.1822</v>
      </c>
      <c r="AA413" s="301">
        <v>5.8628</v>
      </c>
      <c r="AB413" s="301">
        <v>0.0786</v>
      </c>
      <c r="AC413" s="301">
        <v>0.2531</v>
      </c>
      <c r="AD413" s="301">
        <v>0.4023</v>
      </c>
      <c r="AE413" s="301">
        <v>1.6441</v>
      </c>
      <c r="AF413" s="301">
        <v>1.063</v>
      </c>
      <c r="AG413" s="301">
        <v>0.1042</v>
      </c>
      <c r="AH413" s="301">
        <v>3.4991</v>
      </c>
      <c r="AI413" s="301">
        <v>0.2935</v>
      </c>
      <c r="AJ413" s="301">
        <v>0.5224</v>
      </c>
      <c r="AK413" s="301">
        <v>5.0112</v>
      </c>
      <c r="AL413">
        <v>158</v>
      </c>
      <c r="AM413" t="s">
        <v>413</v>
      </c>
    </row>
    <row r="414" spans="1:39" ht="12.75">
      <c r="A414" s="86">
        <v>41138</v>
      </c>
      <c r="B414" s="301">
        <v>0.1044</v>
      </c>
      <c r="C414" s="301">
        <v>3.2886</v>
      </c>
      <c r="D414" s="301">
        <v>3.4367</v>
      </c>
      <c r="E414" s="301">
        <v>0.424</v>
      </c>
      <c r="F414" s="301">
        <v>3.332</v>
      </c>
      <c r="G414" s="301">
        <v>2.6594</v>
      </c>
      <c r="H414" s="301">
        <v>2.6268</v>
      </c>
      <c r="I414" s="301">
        <v>4.068</v>
      </c>
      <c r="J414" s="301">
        <v>1.4623</v>
      </c>
      <c r="K414" s="301">
        <v>3.3868</v>
      </c>
      <c r="L414" s="301">
        <v>5.1687</v>
      </c>
      <c r="M414" s="301">
        <v>0.4063</v>
      </c>
      <c r="N414" s="301">
        <v>4.1402</v>
      </c>
      <c r="O414" s="301">
        <v>0.1636</v>
      </c>
      <c r="P414" s="301">
        <v>0.5463</v>
      </c>
      <c r="R414" s="301">
        <v>2.7527</v>
      </c>
      <c r="S414" s="301">
        <v>0.5525</v>
      </c>
      <c r="U414" s="301">
        <v>0.4895</v>
      </c>
      <c r="V414" s="301">
        <v>0.5452</v>
      </c>
      <c r="W414" s="301">
        <v>0.9064</v>
      </c>
      <c r="X414" s="301">
        <v>2.08</v>
      </c>
      <c r="Y414" s="301">
        <v>1.829</v>
      </c>
      <c r="Z414" s="301">
        <v>1.1782</v>
      </c>
      <c r="AA414" s="301">
        <v>5.8423</v>
      </c>
      <c r="AB414" s="301">
        <v>0.0775</v>
      </c>
      <c r="AC414" s="301">
        <v>0.2497</v>
      </c>
      <c r="AD414" s="301">
        <v>0.3982</v>
      </c>
      <c r="AE414" s="301">
        <v>1.6304</v>
      </c>
      <c r="AF414" s="301">
        <v>1.0503</v>
      </c>
      <c r="AG414" s="301">
        <v>0.1031</v>
      </c>
      <c r="AH414" s="301">
        <v>3.4612</v>
      </c>
      <c r="AI414" s="301">
        <v>0.29</v>
      </c>
      <c r="AJ414" s="301">
        <v>0.5173</v>
      </c>
      <c r="AK414" s="301">
        <v>4.9902</v>
      </c>
      <c r="AL414">
        <v>159</v>
      </c>
      <c r="AM414" t="s">
        <v>413</v>
      </c>
    </row>
    <row r="415" spans="1:39" ht="12.75">
      <c r="A415" s="86">
        <v>41141</v>
      </c>
      <c r="B415" s="301">
        <v>0.1047</v>
      </c>
      <c r="C415" s="301">
        <v>3.2944</v>
      </c>
      <c r="D415" s="301">
        <v>3.4475</v>
      </c>
      <c r="E415" s="301">
        <v>0.4247</v>
      </c>
      <c r="F415" s="301">
        <v>3.3338</v>
      </c>
      <c r="G415" s="301">
        <v>2.6679</v>
      </c>
      <c r="H415" s="301">
        <v>2.6285</v>
      </c>
      <c r="I415" s="301">
        <v>4.0684</v>
      </c>
      <c r="J415" s="301">
        <v>1.4669</v>
      </c>
      <c r="K415" s="301">
        <v>3.3871</v>
      </c>
      <c r="L415" s="301">
        <v>5.1754</v>
      </c>
      <c r="M415" s="301">
        <v>0.4065</v>
      </c>
      <c r="N415" s="301">
        <v>4.1432</v>
      </c>
      <c r="O415" s="301">
        <v>0.1633</v>
      </c>
      <c r="P415" s="301">
        <v>0.5464</v>
      </c>
      <c r="R415" s="301">
        <v>2.7536</v>
      </c>
      <c r="S415" s="301">
        <v>0.5566</v>
      </c>
      <c r="U415" s="301">
        <v>0.495</v>
      </c>
      <c r="V415" s="301">
        <v>0.5446</v>
      </c>
      <c r="W415" s="301">
        <v>0.9053</v>
      </c>
      <c r="X415" s="301">
        <v>2.0802</v>
      </c>
      <c r="Y415" s="301">
        <v>1.8296</v>
      </c>
      <c r="Z415" s="301">
        <v>1.1783</v>
      </c>
      <c r="AA415" s="301">
        <v>5.8429</v>
      </c>
      <c r="AB415" s="301">
        <v>0.0777</v>
      </c>
      <c r="AC415" s="301">
        <v>0.2515</v>
      </c>
      <c r="AD415" s="301">
        <v>0.3963</v>
      </c>
      <c r="AE415" s="301">
        <v>1.634</v>
      </c>
      <c r="AF415" s="301">
        <v>1.0514</v>
      </c>
      <c r="AG415" s="301">
        <v>0.1028</v>
      </c>
      <c r="AH415" s="301">
        <v>3.4664</v>
      </c>
      <c r="AI415" s="301">
        <v>0.29</v>
      </c>
      <c r="AJ415" s="301">
        <v>0.5179</v>
      </c>
      <c r="AK415" s="301">
        <v>4.978</v>
      </c>
      <c r="AL415">
        <v>160</v>
      </c>
      <c r="AM415" t="s">
        <v>413</v>
      </c>
    </row>
    <row r="416" spans="1:39" ht="12.75">
      <c r="A416" s="86">
        <v>41142</v>
      </c>
      <c r="B416" s="301">
        <v>0.1044</v>
      </c>
      <c r="C416" s="301">
        <v>3.279</v>
      </c>
      <c r="D416" s="301">
        <v>3.4442</v>
      </c>
      <c r="E416" s="301">
        <v>0.4227</v>
      </c>
      <c r="F416" s="301">
        <v>3.3258</v>
      </c>
      <c r="G416" s="301">
        <v>2.6675</v>
      </c>
      <c r="H416" s="301">
        <v>2.6223</v>
      </c>
      <c r="I416" s="301">
        <v>4.0683</v>
      </c>
      <c r="J416" s="301">
        <v>1.4735</v>
      </c>
      <c r="K416" s="301">
        <v>3.3874</v>
      </c>
      <c r="L416" s="301">
        <v>5.1697</v>
      </c>
      <c r="M416" s="301">
        <v>0.4045</v>
      </c>
      <c r="N416" s="301">
        <v>4.129</v>
      </c>
      <c r="O416" s="301">
        <v>0.1639</v>
      </c>
      <c r="P416" s="301">
        <v>0.5464</v>
      </c>
      <c r="R416" s="301">
        <v>2.7456</v>
      </c>
      <c r="S416" s="301">
        <v>0.5553</v>
      </c>
      <c r="U416" s="301">
        <v>0.4929</v>
      </c>
      <c r="V416" s="301">
        <v>0.5447</v>
      </c>
      <c r="W416" s="301">
        <v>0.9043</v>
      </c>
      <c r="X416" s="301">
        <v>2.0801</v>
      </c>
      <c r="Y416" s="301">
        <v>1.8235</v>
      </c>
      <c r="Z416" s="301">
        <v>1.1782</v>
      </c>
      <c r="AA416" s="301">
        <v>5.8427</v>
      </c>
      <c r="AB416" s="301">
        <v>0.0776</v>
      </c>
      <c r="AC416" s="301">
        <v>0.2506</v>
      </c>
      <c r="AD416" s="301">
        <v>0.3966</v>
      </c>
      <c r="AE416" s="301">
        <v>1.6253</v>
      </c>
      <c r="AF416" s="301">
        <v>1.0466</v>
      </c>
      <c r="AG416" s="301">
        <v>0.1029</v>
      </c>
      <c r="AH416" s="301">
        <v>3.4503</v>
      </c>
      <c r="AI416" s="301">
        <v>0.2899</v>
      </c>
      <c r="AJ416" s="301">
        <v>0.5158</v>
      </c>
      <c r="AK416" s="301">
        <v>4.9861</v>
      </c>
      <c r="AL416">
        <v>161</v>
      </c>
      <c r="AM416" t="s">
        <v>413</v>
      </c>
    </row>
    <row r="417" spans="1:39" ht="12.75">
      <c r="A417" s="86">
        <v>41143</v>
      </c>
      <c r="B417" s="301">
        <v>0.1042</v>
      </c>
      <c r="C417" s="301">
        <v>3.2639</v>
      </c>
      <c r="D417" s="301">
        <v>3.413</v>
      </c>
      <c r="E417" s="301">
        <v>0.4209</v>
      </c>
      <c r="F417" s="301">
        <v>3.296</v>
      </c>
      <c r="G417" s="301">
        <v>2.6441</v>
      </c>
      <c r="H417" s="301">
        <v>2.6108</v>
      </c>
      <c r="I417" s="301">
        <v>4.0729</v>
      </c>
      <c r="J417" s="301">
        <v>1.4725</v>
      </c>
      <c r="K417" s="301">
        <v>3.3908</v>
      </c>
      <c r="L417" s="301">
        <v>5.1608</v>
      </c>
      <c r="M417" s="301">
        <v>0.4035</v>
      </c>
      <c r="N417" s="301">
        <v>4.1159</v>
      </c>
      <c r="O417" s="301">
        <v>0.1638</v>
      </c>
      <c r="P417" s="301">
        <v>0.5469</v>
      </c>
      <c r="R417" s="301">
        <v>2.7473</v>
      </c>
      <c r="S417" s="301">
        <v>0.5546</v>
      </c>
      <c r="U417" s="301">
        <v>0.4899</v>
      </c>
      <c r="V417" s="301">
        <v>0.5445</v>
      </c>
      <c r="W417" s="301">
        <v>0.9069</v>
      </c>
      <c r="X417" s="301">
        <v>2.0825</v>
      </c>
      <c r="Y417" s="301">
        <v>1.8192</v>
      </c>
      <c r="Z417" s="301">
        <v>1.1796</v>
      </c>
      <c r="AA417" s="301">
        <v>5.8493</v>
      </c>
      <c r="AB417" s="301">
        <v>0.0773</v>
      </c>
      <c r="AC417" s="301">
        <v>0.2482</v>
      </c>
      <c r="AD417" s="301">
        <v>0.394</v>
      </c>
      <c r="AE417" s="301">
        <v>1.6193</v>
      </c>
      <c r="AF417" s="301">
        <v>1.0458</v>
      </c>
      <c r="AG417" s="301">
        <v>0.1025</v>
      </c>
      <c r="AH417" s="301">
        <v>3.4354</v>
      </c>
      <c r="AI417" s="301">
        <v>0.2874</v>
      </c>
      <c r="AJ417" s="301">
        <v>0.514</v>
      </c>
      <c r="AK417" s="301">
        <v>4.9571</v>
      </c>
      <c r="AL417">
        <v>162</v>
      </c>
      <c r="AM417" t="s">
        <v>413</v>
      </c>
    </row>
    <row r="418" spans="1:39" ht="12.75">
      <c r="A418" s="86">
        <v>41144</v>
      </c>
      <c r="B418" s="301">
        <v>0.104</v>
      </c>
      <c r="C418" s="301">
        <v>3.2488</v>
      </c>
      <c r="D418" s="301">
        <v>3.4098</v>
      </c>
      <c r="E418" s="301">
        <v>0.4189</v>
      </c>
      <c r="F418" s="301">
        <v>3.2806</v>
      </c>
      <c r="G418" s="301">
        <v>2.6545</v>
      </c>
      <c r="H418" s="301">
        <v>2.6083</v>
      </c>
      <c r="I418" s="301">
        <v>4.0756</v>
      </c>
      <c r="J418" s="301">
        <v>1.4751</v>
      </c>
      <c r="K418" s="301">
        <v>3.3939</v>
      </c>
      <c r="L418" s="301">
        <v>5.1619</v>
      </c>
      <c r="M418" s="301">
        <v>0.4011</v>
      </c>
      <c r="N418" s="301">
        <v>4.1358</v>
      </c>
      <c r="O418" s="301">
        <v>0.1636</v>
      </c>
      <c r="P418" s="301">
        <v>0.5472</v>
      </c>
      <c r="R418" s="301">
        <v>2.7353</v>
      </c>
      <c r="S418" s="301">
        <v>0.5547</v>
      </c>
      <c r="U418" s="301">
        <v>0.4892</v>
      </c>
      <c r="V418" s="301">
        <v>0.5439</v>
      </c>
      <c r="W418" s="301">
        <v>0.9089</v>
      </c>
      <c r="X418" s="301">
        <v>2.0839</v>
      </c>
      <c r="Y418" s="301">
        <v>1.8096</v>
      </c>
      <c r="Z418" s="301">
        <v>1.1804</v>
      </c>
      <c r="AA418" s="301">
        <v>5.8532</v>
      </c>
      <c r="AB418" s="301">
        <v>0.0771</v>
      </c>
      <c r="AC418" s="301">
        <v>0.2476</v>
      </c>
      <c r="AD418" s="301">
        <v>0.3931</v>
      </c>
      <c r="AE418" s="301">
        <v>1.6113</v>
      </c>
      <c r="AF418" s="301">
        <v>1.0493</v>
      </c>
      <c r="AG418" s="301">
        <v>0.1025</v>
      </c>
      <c r="AH418" s="301">
        <v>3.4254</v>
      </c>
      <c r="AI418" s="301">
        <v>0.2872</v>
      </c>
      <c r="AJ418" s="301">
        <v>0.5113</v>
      </c>
      <c r="AK418" s="301">
        <v>4.9592</v>
      </c>
      <c r="AL418">
        <v>163</v>
      </c>
      <c r="AM418" t="s">
        <v>413</v>
      </c>
    </row>
    <row r="419" spans="1:39" ht="12.75">
      <c r="A419" s="86">
        <v>41145</v>
      </c>
      <c r="B419" s="301">
        <v>0.1048</v>
      </c>
      <c r="C419" s="301">
        <v>3.268</v>
      </c>
      <c r="D419" s="301">
        <v>3.3994</v>
      </c>
      <c r="E419" s="301">
        <v>0.4215</v>
      </c>
      <c r="F419" s="301">
        <v>3.2912</v>
      </c>
      <c r="G419" s="301">
        <v>2.6501</v>
      </c>
      <c r="H419" s="301">
        <v>2.6142</v>
      </c>
      <c r="I419" s="301">
        <v>4.1012</v>
      </c>
      <c r="J419" s="301">
        <v>1.474</v>
      </c>
      <c r="K419" s="301">
        <v>3.4147</v>
      </c>
      <c r="L419" s="301">
        <v>5.1783</v>
      </c>
      <c r="M419" s="301">
        <v>0.4032</v>
      </c>
      <c r="N419" s="301">
        <v>4.1611</v>
      </c>
      <c r="O419" s="301">
        <v>0.1644</v>
      </c>
      <c r="P419" s="301">
        <v>0.5507</v>
      </c>
      <c r="R419" s="301">
        <v>2.7278</v>
      </c>
      <c r="S419" s="301">
        <v>0.5601</v>
      </c>
      <c r="U419" s="301">
        <v>0.4964</v>
      </c>
      <c r="V419" s="301">
        <v>0.5479</v>
      </c>
      <c r="W419" s="301">
        <v>0.9151</v>
      </c>
      <c r="X419" s="301">
        <v>2.0969</v>
      </c>
      <c r="Y419" s="301">
        <v>1.8198</v>
      </c>
      <c r="Z419" s="301">
        <v>1.1878</v>
      </c>
      <c r="AA419" s="301">
        <v>5.8908</v>
      </c>
      <c r="AB419" s="301">
        <v>0.0775</v>
      </c>
      <c r="AC419" s="301">
        <v>0.2474</v>
      </c>
      <c r="AD419" s="301">
        <v>0.3899</v>
      </c>
      <c r="AE419" s="301">
        <v>1.6147</v>
      </c>
      <c r="AF419" s="301">
        <v>1.0548</v>
      </c>
      <c r="AG419" s="301">
        <v>0.1028</v>
      </c>
      <c r="AH419" s="301">
        <v>3.4427</v>
      </c>
      <c r="AI419" s="301">
        <v>0.2881</v>
      </c>
      <c r="AJ419" s="301">
        <v>0.5145</v>
      </c>
      <c r="AK419" s="301">
        <v>4.9701</v>
      </c>
      <c r="AL419">
        <v>164</v>
      </c>
      <c r="AM419" t="s">
        <v>413</v>
      </c>
    </row>
    <row r="420" spans="1:39" ht="12.75">
      <c r="A420" s="86">
        <v>41148</v>
      </c>
      <c r="B420" s="301">
        <v>0.1044</v>
      </c>
      <c r="C420" s="301">
        <v>3.257</v>
      </c>
      <c r="D420" s="301">
        <v>3.3831</v>
      </c>
      <c r="E420" s="301">
        <v>0.4199</v>
      </c>
      <c r="F420" s="301">
        <v>3.2884</v>
      </c>
      <c r="G420" s="301">
        <v>2.6413</v>
      </c>
      <c r="H420" s="301">
        <v>2.6032</v>
      </c>
      <c r="I420" s="301">
        <v>4.0783</v>
      </c>
      <c r="J420" s="301">
        <v>1.4691</v>
      </c>
      <c r="K420" s="301">
        <v>3.3959</v>
      </c>
      <c r="L420" s="301">
        <v>5.1523</v>
      </c>
      <c r="M420" s="301">
        <v>0.4015</v>
      </c>
      <c r="N420" s="301">
        <v>4.1385</v>
      </c>
      <c r="O420" s="301">
        <v>0.1641</v>
      </c>
      <c r="P420" s="301">
        <v>0.5476</v>
      </c>
      <c r="R420" s="301">
        <v>2.6951</v>
      </c>
      <c r="S420" s="301">
        <v>0.56</v>
      </c>
      <c r="U420" s="301">
        <v>0.4947</v>
      </c>
      <c r="V420" s="301">
        <v>0.5448</v>
      </c>
      <c r="W420" s="301">
        <v>0.9116</v>
      </c>
      <c r="X420" s="301">
        <v>2.0852</v>
      </c>
      <c r="Y420" s="301">
        <v>1.8094</v>
      </c>
      <c r="Z420" s="301">
        <v>1.1812</v>
      </c>
      <c r="AA420" s="301">
        <v>5.8571</v>
      </c>
      <c r="AB420" s="301">
        <v>0.0771</v>
      </c>
      <c r="AC420" s="301">
        <v>0.2465</v>
      </c>
      <c r="AD420" s="301">
        <v>0.3876</v>
      </c>
      <c r="AE420" s="301">
        <v>1.608</v>
      </c>
      <c r="AF420" s="301">
        <v>1.0469</v>
      </c>
      <c r="AG420" s="301">
        <v>0.1023</v>
      </c>
      <c r="AH420" s="301">
        <v>3.4199</v>
      </c>
      <c r="AI420" s="301">
        <v>0.2868</v>
      </c>
      <c r="AJ420" s="301">
        <v>0.5123</v>
      </c>
      <c r="AK420" s="301">
        <v>4.9555</v>
      </c>
      <c r="AL420">
        <v>165</v>
      </c>
      <c r="AM420" t="s">
        <v>413</v>
      </c>
    </row>
    <row r="421" spans="1:39" ht="12.75">
      <c r="A421" s="86">
        <v>41149</v>
      </c>
      <c r="B421" s="301">
        <v>0.1044</v>
      </c>
      <c r="C421" s="301">
        <v>3.2685</v>
      </c>
      <c r="D421" s="301">
        <v>3.3906</v>
      </c>
      <c r="E421" s="301">
        <v>0.4213</v>
      </c>
      <c r="F421" s="301">
        <v>3.301</v>
      </c>
      <c r="G421" s="301">
        <v>2.6388</v>
      </c>
      <c r="H421" s="301">
        <v>2.6079</v>
      </c>
      <c r="I421" s="301">
        <v>4.095</v>
      </c>
      <c r="J421" s="301">
        <v>1.4713</v>
      </c>
      <c r="K421" s="301">
        <v>3.4091</v>
      </c>
      <c r="L421" s="301">
        <v>5.1558</v>
      </c>
      <c r="M421" s="301">
        <v>0.4032</v>
      </c>
      <c r="N421" s="301">
        <v>4.1593</v>
      </c>
      <c r="O421" s="301">
        <v>0.1648</v>
      </c>
      <c r="P421" s="301">
        <v>0.5498</v>
      </c>
      <c r="R421" s="301">
        <v>2.6932</v>
      </c>
      <c r="S421" s="301">
        <v>0.5623</v>
      </c>
      <c r="U421" s="301">
        <v>0.498</v>
      </c>
      <c r="V421" s="301">
        <v>0.5469</v>
      </c>
      <c r="W421" s="301">
        <v>0.9187</v>
      </c>
      <c r="X421" s="301">
        <v>2.0938</v>
      </c>
      <c r="Y421" s="301">
        <v>1.8161</v>
      </c>
      <c r="Z421" s="301">
        <v>1.186</v>
      </c>
      <c r="AA421" s="301">
        <v>5.8819</v>
      </c>
      <c r="AB421" s="301">
        <v>0.0772</v>
      </c>
      <c r="AC421" s="301">
        <v>0.248</v>
      </c>
      <c r="AD421" s="301">
        <v>0.389</v>
      </c>
      <c r="AE421" s="301">
        <v>1.6064</v>
      </c>
      <c r="AF421" s="301">
        <v>1.0475</v>
      </c>
      <c r="AG421" s="301">
        <v>0.102</v>
      </c>
      <c r="AH421" s="301">
        <v>3.4233</v>
      </c>
      <c r="AI421" s="301">
        <v>0.2878</v>
      </c>
      <c r="AJ421" s="301">
        <v>0.5143</v>
      </c>
      <c r="AK421" s="301">
        <v>4.9627</v>
      </c>
      <c r="AL421">
        <v>166</v>
      </c>
      <c r="AM421" t="s">
        <v>413</v>
      </c>
    </row>
    <row r="422" spans="1:39" ht="12.75">
      <c r="A422" s="86">
        <v>41150</v>
      </c>
      <c r="B422" s="301">
        <v>0.1055</v>
      </c>
      <c r="C422" s="301">
        <v>3.3081</v>
      </c>
      <c r="D422" s="301">
        <v>3.4258</v>
      </c>
      <c r="E422" s="301">
        <v>0.4265</v>
      </c>
      <c r="F422" s="301">
        <v>3.3439</v>
      </c>
      <c r="G422" s="301">
        <v>2.6515</v>
      </c>
      <c r="H422" s="301">
        <v>2.6386</v>
      </c>
      <c r="I422" s="301">
        <v>4.154</v>
      </c>
      <c r="J422" s="301">
        <v>1.4691</v>
      </c>
      <c r="K422" s="301">
        <v>3.4592</v>
      </c>
      <c r="L422" s="301">
        <v>5.2321</v>
      </c>
      <c r="M422" s="301">
        <v>0.4077</v>
      </c>
      <c r="N422" s="301">
        <v>4.2128</v>
      </c>
      <c r="O422" s="301">
        <v>0.167</v>
      </c>
      <c r="P422" s="301">
        <v>0.5576</v>
      </c>
      <c r="R422" s="301">
        <v>2.7207</v>
      </c>
      <c r="S422" s="301">
        <v>0.566</v>
      </c>
      <c r="U422" s="301">
        <v>0.4971</v>
      </c>
      <c r="V422" s="301">
        <v>0.5549</v>
      </c>
      <c r="W422" s="301">
        <v>0.9298</v>
      </c>
      <c r="X422" s="301">
        <v>2.1239</v>
      </c>
      <c r="Y422" s="301">
        <v>1.8237</v>
      </c>
      <c r="Z422" s="301">
        <v>1.2031</v>
      </c>
      <c r="AA422" s="301">
        <v>5.9658</v>
      </c>
      <c r="AB422" s="301">
        <v>0.0781</v>
      </c>
      <c r="AC422" s="301">
        <v>0.2499</v>
      </c>
      <c r="AD422" s="301">
        <v>0.3928</v>
      </c>
      <c r="AE422" s="301">
        <v>1.6178</v>
      </c>
      <c r="AF422" s="301">
        <v>1.0591</v>
      </c>
      <c r="AG422" s="301">
        <v>0.1028</v>
      </c>
      <c r="AH422" s="301">
        <v>3.4555</v>
      </c>
      <c r="AI422" s="301">
        <v>0.2917</v>
      </c>
      <c r="AJ422" s="301">
        <v>0.5208</v>
      </c>
      <c r="AK422" s="301">
        <v>5.0306</v>
      </c>
      <c r="AL422">
        <v>167</v>
      </c>
      <c r="AM422" t="s">
        <v>413</v>
      </c>
    </row>
    <row r="423" spans="1:39" ht="12.75">
      <c r="A423" s="86">
        <v>41151</v>
      </c>
      <c r="B423" s="301">
        <v>0.1066</v>
      </c>
      <c r="C423" s="301">
        <v>3.3397</v>
      </c>
      <c r="D423" s="301">
        <v>3.4487</v>
      </c>
      <c r="E423" s="301">
        <v>0.4306</v>
      </c>
      <c r="F423" s="301">
        <v>3.3673</v>
      </c>
      <c r="G423" s="301">
        <v>2.6742</v>
      </c>
      <c r="H423" s="301">
        <v>2.6668</v>
      </c>
      <c r="I423" s="301">
        <v>4.1919</v>
      </c>
      <c r="J423" s="301">
        <v>1.473</v>
      </c>
      <c r="K423" s="301">
        <v>3.4911</v>
      </c>
      <c r="L423" s="301">
        <v>5.2828</v>
      </c>
      <c r="M423" s="301">
        <v>0.4113</v>
      </c>
      <c r="N423" s="301">
        <v>4.2473</v>
      </c>
      <c r="O423" s="301">
        <v>0.1681</v>
      </c>
      <c r="P423" s="301">
        <v>0.5626</v>
      </c>
      <c r="R423" s="301">
        <v>2.7327</v>
      </c>
      <c r="S423" s="301">
        <v>0.5738</v>
      </c>
      <c r="U423" s="301">
        <v>0.5015</v>
      </c>
      <c r="V423" s="301">
        <v>0.5609</v>
      </c>
      <c r="W423" s="301">
        <v>0.9398</v>
      </c>
      <c r="X423" s="301">
        <v>2.1433</v>
      </c>
      <c r="Y423" s="301">
        <v>1.8304</v>
      </c>
      <c r="Z423" s="301">
        <v>1.214</v>
      </c>
      <c r="AA423" s="301">
        <v>6.0202</v>
      </c>
      <c r="AB423" s="301">
        <v>0.0791</v>
      </c>
      <c r="AC423" s="301">
        <v>0.2503</v>
      </c>
      <c r="AD423" s="301">
        <v>0.3958</v>
      </c>
      <c r="AE423" s="301">
        <v>1.629</v>
      </c>
      <c r="AF423" s="301">
        <v>1.0683</v>
      </c>
      <c r="AG423" s="301">
        <v>0.1033</v>
      </c>
      <c r="AH423" s="301">
        <v>3.4801</v>
      </c>
      <c r="AI423" s="301">
        <v>0.2947</v>
      </c>
      <c r="AJ423" s="301">
        <v>0.526</v>
      </c>
      <c r="AK423" s="301">
        <v>5.0816</v>
      </c>
      <c r="AL423">
        <v>168</v>
      </c>
      <c r="AM423" t="s">
        <v>413</v>
      </c>
    </row>
    <row r="424" spans="1:39" ht="12.75">
      <c r="A424" s="86">
        <v>41152</v>
      </c>
      <c r="B424" s="301">
        <v>0.1064</v>
      </c>
      <c r="C424" s="301">
        <v>3.3353</v>
      </c>
      <c r="D424" s="301">
        <v>3.4415</v>
      </c>
      <c r="E424" s="301">
        <v>0.4299</v>
      </c>
      <c r="F424" s="301">
        <v>3.3626</v>
      </c>
      <c r="G424" s="301">
        <v>2.6719</v>
      </c>
      <c r="H424" s="301">
        <v>2.6686</v>
      </c>
      <c r="I424" s="301">
        <v>4.1838</v>
      </c>
      <c r="J424" s="301">
        <v>1.4757</v>
      </c>
      <c r="K424" s="301">
        <v>3.4839</v>
      </c>
      <c r="L424" s="301">
        <v>5.2756</v>
      </c>
      <c r="M424" s="301">
        <v>0.4118</v>
      </c>
      <c r="N424" s="301">
        <v>4.246</v>
      </c>
      <c r="O424" s="301">
        <v>0.1684</v>
      </c>
      <c r="P424" s="301">
        <v>0.5616</v>
      </c>
      <c r="R424" s="301">
        <v>2.7283</v>
      </c>
      <c r="S424" s="301">
        <v>0.5742</v>
      </c>
      <c r="U424" s="301">
        <v>0.5016</v>
      </c>
      <c r="V424" s="301">
        <v>0.5596</v>
      </c>
      <c r="W424" s="301">
        <v>0.9377</v>
      </c>
      <c r="X424" s="301">
        <v>2.1392</v>
      </c>
      <c r="Y424" s="301">
        <v>1.8277</v>
      </c>
      <c r="Z424" s="301">
        <v>1.2117</v>
      </c>
      <c r="AA424" s="301">
        <v>6.0099</v>
      </c>
      <c r="AB424" s="301">
        <v>0.0792</v>
      </c>
      <c r="AC424" s="301">
        <v>0.2501</v>
      </c>
      <c r="AD424" s="301">
        <v>0.3966</v>
      </c>
      <c r="AE424" s="301">
        <v>1.6257</v>
      </c>
      <c r="AF424" s="301">
        <v>1.0673</v>
      </c>
      <c r="AG424" s="301">
        <v>0.1027</v>
      </c>
      <c r="AH424" s="301">
        <v>3.4804</v>
      </c>
      <c r="AI424" s="301">
        <v>0.294</v>
      </c>
      <c r="AJ424" s="301">
        <v>0.5253</v>
      </c>
      <c r="AK424" s="301">
        <v>5.0707</v>
      </c>
      <c r="AL424">
        <v>169</v>
      </c>
      <c r="AM424" t="s">
        <v>413</v>
      </c>
    </row>
    <row r="425" spans="1:39" ht="15">
      <c r="A425" s="470">
        <v>41155</v>
      </c>
      <c r="B425" s="301">
        <v>0.1071</v>
      </c>
      <c r="C425" s="301">
        <v>3.3398</v>
      </c>
      <c r="D425" s="301">
        <v>3.4216</v>
      </c>
      <c r="E425" s="301">
        <v>0.4306</v>
      </c>
      <c r="F425" s="301">
        <v>3.386</v>
      </c>
      <c r="G425" s="301">
        <v>2.6668</v>
      </c>
      <c r="H425" s="301">
        <v>2.6776</v>
      </c>
      <c r="I425" s="301">
        <v>4.1981</v>
      </c>
      <c r="J425" s="301">
        <v>1.4724</v>
      </c>
      <c r="K425" s="301">
        <v>3.4958</v>
      </c>
      <c r="L425" s="301">
        <v>5.3046</v>
      </c>
      <c r="M425" s="301">
        <v>0.4105</v>
      </c>
      <c r="N425" s="301">
        <v>4.2622</v>
      </c>
      <c r="O425" s="301">
        <v>0.1686</v>
      </c>
      <c r="P425" s="301">
        <v>0.5634</v>
      </c>
      <c r="R425" s="301">
        <v>2.7367</v>
      </c>
      <c r="S425" s="301">
        <v>0.5759</v>
      </c>
      <c r="U425" s="301">
        <v>0.5009</v>
      </c>
      <c r="V425" s="301">
        <v>0.5619</v>
      </c>
      <c r="W425" s="301">
        <v>0.9346</v>
      </c>
      <c r="X425" s="301">
        <v>2.1465</v>
      </c>
      <c r="Y425" s="301">
        <v>1.8352</v>
      </c>
      <c r="Z425" s="301">
        <v>1.2159</v>
      </c>
      <c r="AA425" s="301">
        <v>6.03</v>
      </c>
      <c r="AB425" s="301">
        <v>0.0796</v>
      </c>
      <c r="AC425" s="301">
        <v>0.2525</v>
      </c>
      <c r="AD425" s="301">
        <v>0.3966</v>
      </c>
      <c r="AE425" s="301">
        <v>1.645</v>
      </c>
      <c r="AF425" s="301">
        <v>1.0731</v>
      </c>
      <c r="AG425" s="301">
        <v>0.1031</v>
      </c>
      <c r="AH425" s="301">
        <v>3.4862</v>
      </c>
      <c r="AI425" s="301">
        <v>0.2951</v>
      </c>
      <c r="AJ425" s="301">
        <v>0.5268</v>
      </c>
      <c r="AK425" s="301">
        <v>5.0667</v>
      </c>
      <c r="AL425">
        <v>170</v>
      </c>
      <c r="AM425" t="s">
        <v>413</v>
      </c>
    </row>
    <row r="426" spans="1:39" ht="15">
      <c r="A426" s="470">
        <v>41156</v>
      </c>
      <c r="B426" s="301">
        <v>0.1068</v>
      </c>
      <c r="C426" s="301">
        <v>3.3281</v>
      </c>
      <c r="D426" s="301">
        <v>3.413</v>
      </c>
      <c r="E426" s="301">
        <v>0.429</v>
      </c>
      <c r="F426" s="301">
        <v>3.3785</v>
      </c>
      <c r="G426" s="301">
        <v>2.6519</v>
      </c>
      <c r="H426" s="301">
        <v>2.6714</v>
      </c>
      <c r="I426" s="301">
        <v>4.1944</v>
      </c>
      <c r="J426" s="301">
        <v>1.476</v>
      </c>
      <c r="K426" s="301">
        <v>3.4926</v>
      </c>
      <c r="L426" s="301">
        <v>5.2886</v>
      </c>
      <c r="M426" s="301">
        <v>0.408</v>
      </c>
      <c r="N426" s="301">
        <v>4.2434</v>
      </c>
      <c r="O426" s="301">
        <v>0.1686</v>
      </c>
      <c r="P426" s="301">
        <v>0.5629</v>
      </c>
      <c r="R426" s="301">
        <v>2.7183</v>
      </c>
      <c r="S426" s="301">
        <v>0.5743</v>
      </c>
      <c r="U426" s="301">
        <v>0.4974</v>
      </c>
      <c r="V426" s="301">
        <v>0.5612</v>
      </c>
      <c r="W426" s="301">
        <v>0.9337</v>
      </c>
      <c r="X426" s="301">
        <v>2.1446</v>
      </c>
      <c r="Y426" s="301">
        <v>1.8303</v>
      </c>
      <c r="Z426" s="301">
        <v>1.2148</v>
      </c>
      <c r="AA426" s="301">
        <v>6.0238</v>
      </c>
      <c r="AB426" s="301">
        <v>0.0794</v>
      </c>
      <c r="AC426" s="301">
        <v>0.2527</v>
      </c>
      <c r="AD426" s="301">
        <v>0.3973</v>
      </c>
      <c r="AE426" s="301">
        <v>1.6365</v>
      </c>
      <c r="AF426" s="301">
        <v>1.0708</v>
      </c>
      <c r="AG426" s="301">
        <v>0.1035</v>
      </c>
      <c r="AH426" s="301">
        <v>3.4742</v>
      </c>
      <c r="AI426" s="301">
        <v>0.2937</v>
      </c>
      <c r="AJ426" s="301">
        <v>0.5243</v>
      </c>
      <c r="AK426" s="301">
        <v>5.0622</v>
      </c>
      <c r="AL426">
        <v>171</v>
      </c>
      <c r="AM426" t="s">
        <v>413</v>
      </c>
    </row>
    <row r="427" spans="1:39" ht="15">
      <c r="A427" s="470">
        <v>41157</v>
      </c>
      <c r="B427" s="301">
        <v>0.1078</v>
      </c>
      <c r="C427" s="301">
        <v>3.3693</v>
      </c>
      <c r="D427" s="301">
        <v>3.4295</v>
      </c>
      <c r="E427" s="301">
        <v>0.4344</v>
      </c>
      <c r="F427" s="301">
        <v>3.4091</v>
      </c>
      <c r="G427" s="301">
        <v>2.6701</v>
      </c>
      <c r="H427" s="301">
        <v>2.6956</v>
      </c>
      <c r="I427" s="301">
        <v>4.2157</v>
      </c>
      <c r="J427" s="301">
        <v>1.4784</v>
      </c>
      <c r="K427" s="301">
        <v>3.5096</v>
      </c>
      <c r="L427" s="301">
        <v>5.3424</v>
      </c>
      <c r="M427" s="301">
        <v>0.4151</v>
      </c>
      <c r="N427" s="301">
        <v>4.2984</v>
      </c>
      <c r="O427" s="301">
        <v>0.1697</v>
      </c>
      <c r="P427" s="301">
        <v>0.5659</v>
      </c>
      <c r="R427" s="301">
        <v>2.733</v>
      </c>
      <c r="S427" s="301">
        <v>0.5768</v>
      </c>
      <c r="U427" s="301">
        <v>0.4986</v>
      </c>
      <c r="V427" s="301">
        <v>0.5651</v>
      </c>
      <c r="W427" s="301">
        <v>0.9379</v>
      </c>
      <c r="X427" s="301">
        <v>2.1555</v>
      </c>
      <c r="Y427" s="301">
        <v>1.8471</v>
      </c>
      <c r="Z427" s="301">
        <v>1.221</v>
      </c>
      <c r="AA427" s="301">
        <v>6.0544</v>
      </c>
      <c r="AB427" s="301">
        <v>0.0802</v>
      </c>
      <c r="AC427" s="301">
        <v>0.2549</v>
      </c>
      <c r="AD427" s="301">
        <v>0.399</v>
      </c>
      <c r="AE427" s="301">
        <v>1.6492</v>
      </c>
      <c r="AF427" s="301">
        <v>1.0799</v>
      </c>
      <c r="AG427" s="301">
        <v>0.1038</v>
      </c>
      <c r="AH427" s="301">
        <v>3.5145</v>
      </c>
      <c r="AI427" s="301">
        <v>0.2966</v>
      </c>
      <c r="AJ427" s="301">
        <v>0.5307</v>
      </c>
      <c r="AK427" s="301">
        <v>5.1037</v>
      </c>
      <c r="AL427">
        <v>172</v>
      </c>
      <c r="AM427" t="s">
        <v>413</v>
      </c>
    </row>
    <row r="428" spans="1:39" ht="15">
      <c r="A428" s="470">
        <v>41158</v>
      </c>
      <c r="B428" s="301">
        <v>0.1057</v>
      </c>
      <c r="C428" s="301">
        <v>3.2955</v>
      </c>
      <c r="D428" s="301">
        <v>3.375</v>
      </c>
      <c r="E428" s="301">
        <v>0.4249</v>
      </c>
      <c r="F428" s="301">
        <v>3.3315</v>
      </c>
      <c r="G428" s="301">
        <v>2.625</v>
      </c>
      <c r="H428" s="301">
        <v>2.6467</v>
      </c>
      <c r="I428" s="301">
        <v>4.158</v>
      </c>
      <c r="J428" s="301">
        <v>1.463</v>
      </c>
      <c r="K428" s="301">
        <v>3.4508</v>
      </c>
      <c r="L428" s="301">
        <v>5.2421</v>
      </c>
      <c r="M428" s="301">
        <v>0.4063</v>
      </c>
      <c r="N428" s="301">
        <v>4.2019</v>
      </c>
      <c r="O428" s="301">
        <v>0.1681</v>
      </c>
      <c r="P428" s="301">
        <v>0.558</v>
      </c>
      <c r="R428" s="301">
        <v>2.6765</v>
      </c>
      <c r="S428" s="301">
        <v>0.5657</v>
      </c>
      <c r="U428" s="301">
        <v>0.4888</v>
      </c>
      <c r="V428" s="301">
        <v>0.5583</v>
      </c>
      <c r="W428" s="301">
        <v>0.928</v>
      </c>
      <c r="X428" s="301">
        <v>2.126</v>
      </c>
      <c r="Y428" s="301">
        <v>1.8124</v>
      </c>
      <c r="Z428" s="301">
        <v>1.2042</v>
      </c>
      <c r="AA428" s="301">
        <v>5.9733</v>
      </c>
      <c r="AB428" s="301">
        <v>0.0787</v>
      </c>
      <c r="AC428" s="301">
        <v>0.2517</v>
      </c>
      <c r="AD428" s="301">
        <v>0.3942</v>
      </c>
      <c r="AE428" s="301">
        <v>1.616</v>
      </c>
      <c r="AF428" s="301">
        <v>1.0572</v>
      </c>
      <c r="AG428" s="301">
        <v>0.1023</v>
      </c>
      <c r="AH428" s="301">
        <v>3.4375</v>
      </c>
      <c r="AI428" s="301">
        <v>0.2906</v>
      </c>
      <c r="AJ428" s="301">
        <v>0.5196</v>
      </c>
      <c r="AK428" s="301">
        <v>5.03</v>
      </c>
      <c r="AL428">
        <v>173</v>
      </c>
      <c r="AM428" t="s">
        <v>413</v>
      </c>
    </row>
    <row r="429" spans="1:39" ht="15">
      <c r="A429" s="470">
        <v>41159</v>
      </c>
      <c r="B429" s="301">
        <v>0.1044</v>
      </c>
      <c r="C429" s="301">
        <v>3.2578</v>
      </c>
      <c r="D429" s="301">
        <v>3.366</v>
      </c>
      <c r="E429" s="301">
        <v>0.42</v>
      </c>
      <c r="F429" s="301">
        <v>3.3194</v>
      </c>
      <c r="G429" s="301">
        <v>2.6187</v>
      </c>
      <c r="H429" s="301">
        <v>2.6262</v>
      </c>
      <c r="I429" s="301">
        <v>4.1275</v>
      </c>
      <c r="J429" s="301">
        <v>1.4342</v>
      </c>
      <c r="K429" s="301">
        <v>3.4071</v>
      </c>
      <c r="L429" s="301">
        <v>5.2033</v>
      </c>
      <c r="M429" s="301">
        <v>0.4014</v>
      </c>
      <c r="N429" s="301">
        <v>4.1277</v>
      </c>
      <c r="O429" s="301">
        <v>0.1678</v>
      </c>
      <c r="P429" s="301">
        <v>0.5539</v>
      </c>
      <c r="R429" s="301">
        <v>2.6492</v>
      </c>
      <c r="S429" s="301">
        <v>0.5592</v>
      </c>
      <c r="U429" s="301">
        <v>0.485</v>
      </c>
      <c r="V429" s="301">
        <v>0.5563</v>
      </c>
      <c r="W429" s="301">
        <v>0.9224</v>
      </c>
      <c r="X429" s="301">
        <v>2.1104</v>
      </c>
      <c r="Y429" s="301">
        <v>1.8012</v>
      </c>
      <c r="Z429" s="301">
        <v>1.1954</v>
      </c>
      <c r="AA429" s="301">
        <v>5.9278</v>
      </c>
      <c r="AB429" s="301">
        <v>0.0782</v>
      </c>
      <c r="AC429" s="301">
        <v>0.2504</v>
      </c>
      <c r="AD429" s="301">
        <v>0.3949</v>
      </c>
      <c r="AE429" s="301">
        <v>1.6063</v>
      </c>
      <c r="AF429" s="301">
        <v>1.0467</v>
      </c>
      <c r="AG429" s="301">
        <v>0.1017</v>
      </c>
      <c r="AH429" s="301">
        <v>3.3972</v>
      </c>
      <c r="AI429" s="301">
        <v>0.2882</v>
      </c>
      <c r="AJ429" s="301">
        <v>0.5136</v>
      </c>
      <c r="AK429" s="301">
        <v>4.9787</v>
      </c>
      <c r="AL429">
        <v>174</v>
      </c>
      <c r="AM429" t="s">
        <v>413</v>
      </c>
    </row>
    <row r="430" spans="1:39" ht="15">
      <c r="A430" s="470">
        <v>41162</v>
      </c>
      <c r="B430" s="301">
        <v>0.1037</v>
      </c>
      <c r="C430" s="301">
        <v>3.2189</v>
      </c>
      <c r="D430" s="301">
        <v>3.329</v>
      </c>
      <c r="E430" s="301">
        <v>0.415</v>
      </c>
      <c r="F430" s="301">
        <v>3.2923</v>
      </c>
      <c r="G430" s="301">
        <v>2.6084</v>
      </c>
      <c r="H430" s="301">
        <v>2.6023</v>
      </c>
      <c r="I430" s="301">
        <v>4.1141</v>
      </c>
      <c r="J430" s="301">
        <v>1.4434</v>
      </c>
      <c r="K430" s="301">
        <v>3.3971</v>
      </c>
      <c r="L430" s="301">
        <v>5.1475</v>
      </c>
      <c r="M430" s="301">
        <v>0.3977</v>
      </c>
      <c r="N430" s="301">
        <v>4.1086</v>
      </c>
      <c r="O430" s="301">
        <v>0.1678</v>
      </c>
      <c r="P430" s="301">
        <v>0.5521</v>
      </c>
      <c r="R430" s="301">
        <v>2.6322</v>
      </c>
      <c r="S430" s="301">
        <v>0.5585</v>
      </c>
      <c r="U430" s="301">
        <v>0.486</v>
      </c>
      <c r="V430" s="301">
        <v>0.5533</v>
      </c>
      <c r="W430" s="301">
        <v>0.9188</v>
      </c>
      <c r="X430" s="301">
        <v>2.1035</v>
      </c>
      <c r="Y430" s="301">
        <v>1.789</v>
      </c>
      <c r="Z430" s="301">
        <v>1.1915</v>
      </c>
      <c r="AA430" s="301">
        <v>5.9085</v>
      </c>
      <c r="AB430" s="301">
        <v>0.0774</v>
      </c>
      <c r="AC430" s="301">
        <v>0.2482</v>
      </c>
      <c r="AD430" s="301">
        <v>0.392</v>
      </c>
      <c r="AE430" s="301">
        <v>1.5869</v>
      </c>
      <c r="AF430" s="301">
        <v>1.037</v>
      </c>
      <c r="AG430" s="301">
        <v>0.1014</v>
      </c>
      <c r="AH430" s="301">
        <v>3.3577</v>
      </c>
      <c r="AI430" s="301">
        <v>0.285</v>
      </c>
      <c r="AJ430" s="301">
        <v>0.5078</v>
      </c>
      <c r="AK430" s="301">
        <v>4.9433</v>
      </c>
      <c r="AL430">
        <v>175</v>
      </c>
      <c r="AM430" t="s">
        <v>413</v>
      </c>
    </row>
    <row r="431" spans="1:39" ht="15">
      <c r="A431" s="470">
        <v>41163</v>
      </c>
      <c r="B431" s="301">
        <v>0.1033</v>
      </c>
      <c r="C431" s="301">
        <v>3.2098</v>
      </c>
      <c r="D431" s="301">
        <v>3.3301</v>
      </c>
      <c r="E431" s="301">
        <v>0.4139</v>
      </c>
      <c r="F431" s="301">
        <v>3.2981</v>
      </c>
      <c r="G431" s="301">
        <v>2.6087</v>
      </c>
      <c r="H431" s="301">
        <v>2.6061</v>
      </c>
      <c r="I431" s="301">
        <v>4.1085</v>
      </c>
      <c r="J431" s="301">
        <v>1.4438</v>
      </c>
      <c r="K431" s="301">
        <v>3.4023</v>
      </c>
      <c r="L431" s="301">
        <v>5.1421</v>
      </c>
      <c r="M431" s="301">
        <v>0.3962</v>
      </c>
      <c r="N431" s="301">
        <v>4.1091</v>
      </c>
      <c r="O431" s="301">
        <v>0.1674</v>
      </c>
      <c r="P431" s="301">
        <v>0.5513</v>
      </c>
      <c r="R431" s="301">
        <v>2.6252</v>
      </c>
      <c r="S431" s="301">
        <v>0.555</v>
      </c>
      <c r="U431" s="301">
        <v>0.4838</v>
      </c>
      <c r="V431" s="301">
        <v>0.5534</v>
      </c>
      <c r="W431" s="301">
        <v>0.9152</v>
      </c>
      <c r="X431" s="301">
        <v>2.1007</v>
      </c>
      <c r="Y431" s="301">
        <v>1.7797</v>
      </c>
      <c r="Z431" s="301">
        <v>1.1899</v>
      </c>
      <c r="AA431" s="301">
        <v>5.9005</v>
      </c>
      <c r="AB431" s="301">
        <v>0.0772</v>
      </c>
      <c r="AC431" s="301">
        <v>0.2461</v>
      </c>
      <c r="AD431" s="301">
        <v>0.3901</v>
      </c>
      <c r="AE431" s="301">
        <v>1.5867</v>
      </c>
      <c r="AF431" s="301">
        <v>1.0381</v>
      </c>
      <c r="AG431" s="301">
        <v>0.1012</v>
      </c>
      <c r="AH431" s="301">
        <v>3.3489</v>
      </c>
      <c r="AI431" s="301">
        <v>0.2844</v>
      </c>
      <c r="AJ431" s="301">
        <v>0.5066</v>
      </c>
      <c r="AK431" s="301">
        <v>4.9293</v>
      </c>
      <c r="AL431">
        <v>176</v>
      </c>
      <c r="AM431" t="s">
        <v>413</v>
      </c>
    </row>
    <row r="432" spans="1:39" ht="15">
      <c r="A432" s="470">
        <v>41164</v>
      </c>
      <c r="B432" s="301">
        <v>0.1024</v>
      </c>
      <c r="C432" s="301">
        <v>3.168</v>
      </c>
      <c r="D432" s="301">
        <v>3.3223</v>
      </c>
      <c r="E432" s="301">
        <v>0.4085</v>
      </c>
      <c r="F432" s="301">
        <v>3.2567</v>
      </c>
      <c r="G432" s="301">
        <v>2.6026</v>
      </c>
      <c r="H432" s="301">
        <v>2.5783</v>
      </c>
      <c r="I432" s="301">
        <v>4.0801</v>
      </c>
      <c r="J432" s="301">
        <v>1.4474</v>
      </c>
      <c r="K432" s="301">
        <v>3.3749</v>
      </c>
      <c r="L432" s="301">
        <v>5.1033</v>
      </c>
      <c r="M432" s="301">
        <v>0.3916</v>
      </c>
      <c r="N432" s="301">
        <v>4.0681</v>
      </c>
      <c r="O432" s="301">
        <v>0.1675</v>
      </c>
      <c r="P432" s="301">
        <v>0.5474</v>
      </c>
      <c r="R432" s="301">
        <v>2.6013</v>
      </c>
      <c r="S432" s="301">
        <v>0.5497</v>
      </c>
      <c r="U432" s="301">
        <v>0.4794</v>
      </c>
      <c r="V432" s="301">
        <v>0.5502</v>
      </c>
      <c r="W432" s="301">
        <v>0.9093</v>
      </c>
      <c r="X432" s="301">
        <v>2.0862</v>
      </c>
      <c r="Y432" s="301">
        <v>1.7601</v>
      </c>
      <c r="Z432" s="301">
        <v>1.1817</v>
      </c>
      <c r="AA432" s="301">
        <v>5.8605</v>
      </c>
      <c r="AB432" s="301">
        <v>0.0762</v>
      </c>
      <c r="AC432" s="301">
        <v>0.2442</v>
      </c>
      <c r="AD432" s="301">
        <v>0.386</v>
      </c>
      <c r="AE432" s="301">
        <v>1.5706</v>
      </c>
      <c r="AF432" s="301">
        <v>1.0306</v>
      </c>
      <c r="AG432" s="301">
        <v>0.1011</v>
      </c>
      <c r="AH432" s="301">
        <v>3.3096</v>
      </c>
      <c r="AI432" s="301">
        <v>0.2811</v>
      </c>
      <c r="AJ432" s="301">
        <v>0.5007</v>
      </c>
      <c r="AK432" s="301">
        <v>4.8958</v>
      </c>
      <c r="AL432">
        <v>177</v>
      </c>
      <c r="AM432" t="s">
        <v>413</v>
      </c>
    </row>
    <row r="433" spans="1:39" ht="15">
      <c r="A433" s="470">
        <v>41165</v>
      </c>
      <c r="B433" s="301">
        <v>0.1028</v>
      </c>
      <c r="C433" s="301">
        <v>3.1852</v>
      </c>
      <c r="D433" s="301">
        <v>3.3251</v>
      </c>
      <c r="E433" s="301">
        <v>0.4107</v>
      </c>
      <c r="F433" s="301">
        <v>3.2603</v>
      </c>
      <c r="G433" s="301">
        <v>2.6135</v>
      </c>
      <c r="H433" s="301">
        <v>2.5898</v>
      </c>
      <c r="I433" s="301">
        <v>4.1146</v>
      </c>
      <c r="J433" s="301">
        <v>1.4487</v>
      </c>
      <c r="K433" s="301">
        <v>3.3963</v>
      </c>
      <c r="L433" s="301">
        <v>5.1317</v>
      </c>
      <c r="M433" s="301">
        <v>0.3949</v>
      </c>
      <c r="N433" s="301">
        <v>4.099</v>
      </c>
      <c r="O433" s="301">
        <v>0.1681</v>
      </c>
      <c r="P433" s="301">
        <v>0.552</v>
      </c>
      <c r="R433" s="301">
        <v>2.6166</v>
      </c>
      <c r="S433" s="301">
        <v>0.5542</v>
      </c>
      <c r="U433" s="301">
        <v>0.482</v>
      </c>
      <c r="V433" s="301">
        <v>0.5555</v>
      </c>
      <c r="W433" s="301">
        <v>0.9137</v>
      </c>
      <c r="X433" s="301">
        <v>2.1038</v>
      </c>
      <c r="Y433" s="301">
        <v>1.7624</v>
      </c>
      <c r="Z433" s="301">
        <v>1.1917</v>
      </c>
      <c r="AA433" s="301">
        <v>5.9101</v>
      </c>
      <c r="AB433" s="301">
        <v>0.0762</v>
      </c>
      <c r="AC433" s="301">
        <v>0.2443</v>
      </c>
      <c r="AD433" s="301">
        <v>0.3774</v>
      </c>
      <c r="AE433" s="301">
        <v>1.5714</v>
      </c>
      <c r="AF433" s="301">
        <v>1.0338</v>
      </c>
      <c r="AG433" s="301">
        <v>0.1014</v>
      </c>
      <c r="AH433" s="301">
        <v>3.3207</v>
      </c>
      <c r="AI433" s="301">
        <v>0.2821</v>
      </c>
      <c r="AJ433" s="301">
        <v>0.5031</v>
      </c>
      <c r="AK433" s="301">
        <v>4.9164</v>
      </c>
      <c r="AL433">
        <v>178</v>
      </c>
      <c r="AM433" t="s">
        <v>413</v>
      </c>
    </row>
    <row r="434" spans="1:39" ht="15">
      <c r="A434" s="470">
        <v>41166</v>
      </c>
      <c r="B434" s="301">
        <v>0.1013</v>
      </c>
      <c r="C434" s="301">
        <v>3.1131</v>
      </c>
      <c r="D434" s="301">
        <v>3.2968</v>
      </c>
      <c r="E434" s="301">
        <v>0.4016</v>
      </c>
      <c r="F434" s="301">
        <v>3.2225</v>
      </c>
      <c r="G434" s="301">
        <v>2.5993</v>
      </c>
      <c r="H434" s="301">
        <v>2.5502</v>
      </c>
      <c r="I434" s="301">
        <v>4.0584</v>
      </c>
      <c r="J434" s="301">
        <v>1.4421</v>
      </c>
      <c r="K434" s="301">
        <v>3.3379</v>
      </c>
      <c r="L434" s="301">
        <v>5.0421</v>
      </c>
      <c r="M434" s="301">
        <v>0.3841</v>
      </c>
      <c r="N434" s="301">
        <v>4.0037</v>
      </c>
      <c r="O434" s="301">
        <v>0.1664</v>
      </c>
      <c r="P434" s="301">
        <v>0.5444</v>
      </c>
      <c r="R434" s="301">
        <v>2.5678</v>
      </c>
      <c r="S434" s="301">
        <v>0.5466</v>
      </c>
      <c r="U434" s="301">
        <v>0.4725</v>
      </c>
      <c r="V434" s="301">
        <v>0.5473</v>
      </c>
      <c r="W434" s="301">
        <v>0.9014</v>
      </c>
      <c r="X434" s="301">
        <v>2.0751</v>
      </c>
      <c r="Y434" s="301">
        <v>1.7311</v>
      </c>
      <c r="Z434" s="301">
        <v>1.1754</v>
      </c>
      <c r="AA434" s="301">
        <v>5.8268</v>
      </c>
      <c r="AB434" s="301">
        <v>0.0752</v>
      </c>
      <c r="AC434" s="301">
        <v>0.2436</v>
      </c>
      <c r="AD434" s="301">
        <v>0.3775</v>
      </c>
      <c r="AE434" s="301">
        <v>1.5394</v>
      </c>
      <c r="AF434" s="301">
        <v>1.0234</v>
      </c>
      <c r="AG434" s="301">
        <v>0.1009</v>
      </c>
      <c r="AH434" s="301">
        <v>3.2717</v>
      </c>
      <c r="AI434" s="301">
        <v>0.2787</v>
      </c>
      <c r="AJ434" s="301">
        <v>0.493</v>
      </c>
      <c r="AK434" s="301">
        <v>4.8421</v>
      </c>
      <c r="AL434">
        <v>179</v>
      </c>
      <c r="AM434" t="s">
        <v>413</v>
      </c>
    </row>
    <row r="435" spans="1:39" ht="15">
      <c r="A435" s="470">
        <v>41169</v>
      </c>
      <c r="B435" s="301">
        <v>0.1014</v>
      </c>
      <c r="C435" s="301">
        <v>3.1207</v>
      </c>
      <c r="D435" s="301">
        <v>3.2857</v>
      </c>
      <c r="E435" s="301">
        <v>0.4026</v>
      </c>
      <c r="F435" s="301">
        <v>3.21</v>
      </c>
      <c r="G435" s="301">
        <v>2.5875</v>
      </c>
      <c r="H435" s="301">
        <v>2.5512</v>
      </c>
      <c r="I435" s="301">
        <v>4.0887</v>
      </c>
      <c r="J435" s="301">
        <v>1.4454</v>
      </c>
      <c r="K435" s="301">
        <v>3.3628</v>
      </c>
      <c r="L435" s="301">
        <v>5.0637</v>
      </c>
      <c r="M435" s="301">
        <v>0.3843</v>
      </c>
      <c r="N435" s="301">
        <v>3.9814</v>
      </c>
      <c r="O435" s="301">
        <v>0.1672</v>
      </c>
      <c r="P435" s="301">
        <v>0.5484</v>
      </c>
      <c r="R435" s="301">
        <v>2.5699</v>
      </c>
      <c r="S435" s="301">
        <v>0.5472</v>
      </c>
      <c r="U435" s="301">
        <v>0.4737</v>
      </c>
      <c r="V435" s="301">
        <v>0.5527</v>
      </c>
      <c r="W435" s="301">
        <v>0.9073</v>
      </c>
      <c r="X435" s="301">
        <v>2.0906</v>
      </c>
      <c r="Y435" s="301">
        <v>1.7384</v>
      </c>
      <c r="Z435" s="301">
        <v>1.1842</v>
      </c>
      <c r="AA435" s="301">
        <v>5.872</v>
      </c>
      <c r="AB435" s="301">
        <v>0.075</v>
      </c>
      <c r="AC435" s="301">
        <v>0.2445</v>
      </c>
      <c r="AD435" s="301">
        <v>0.3773</v>
      </c>
      <c r="AE435" s="301">
        <v>1.551</v>
      </c>
      <c r="AF435" s="301">
        <v>1.0275</v>
      </c>
      <c r="AG435" s="301">
        <v>0.1019</v>
      </c>
      <c r="AH435" s="301">
        <v>3.2961</v>
      </c>
      <c r="AI435" s="301">
        <v>0.2796</v>
      </c>
      <c r="AJ435" s="301">
        <v>0.494</v>
      </c>
      <c r="AK435" s="301">
        <v>4.8376</v>
      </c>
      <c r="AL435">
        <v>180</v>
      </c>
      <c r="AM435" t="s">
        <v>413</v>
      </c>
    </row>
    <row r="436" spans="1:39" ht="15">
      <c r="A436" s="470">
        <v>41170</v>
      </c>
      <c r="B436" s="301">
        <v>0.102</v>
      </c>
      <c r="C436" s="301">
        <v>3.1509</v>
      </c>
      <c r="D436" s="301">
        <v>3.2882</v>
      </c>
      <c r="E436" s="301">
        <v>0.4064</v>
      </c>
      <c r="F436" s="301">
        <v>3.2304</v>
      </c>
      <c r="G436" s="301">
        <v>2.6041</v>
      </c>
      <c r="H436" s="301">
        <v>2.5702</v>
      </c>
      <c r="I436" s="301">
        <v>4.1217</v>
      </c>
      <c r="J436" s="301">
        <v>1.4505</v>
      </c>
      <c r="K436" s="301">
        <v>3.4012</v>
      </c>
      <c r="L436" s="301">
        <v>5.1166</v>
      </c>
      <c r="M436" s="301">
        <v>0.3871</v>
      </c>
      <c r="N436" s="301">
        <v>4.0069</v>
      </c>
      <c r="O436" s="301">
        <v>0.1667</v>
      </c>
      <c r="P436" s="301">
        <v>0.553</v>
      </c>
      <c r="R436" s="301">
        <v>2.589</v>
      </c>
      <c r="S436" s="301">
        <v>0.5515</v>
      </c>
      <c r="U436" s="301">
        <v>0.4791</v>
      </c>
      <c r="V436" s="301">
        <v>0.557</v>
      </c>
      <c r="W436" s="301">
        <v>0.9153</v>
      </c>
      <c r="X436" s="301">
        <v>2.1074</v>
      </c>
      <c r="Y436" s="301">
        <v>1.7487</v>
      </c>
      <c r="Z436" s="301">
        <v>1.1937</v>
      </c>
      <c r="AA436" s="301">
        <v>5.9203</v>
      </c>
      <c r="AB436" s="301">
        <v>0.0755</v>
      </c>
      <c r="AC436" s="301">
        <v>0.2458</v>
      </c>
      <c r="AD436" s="301">
        <v>0.3823</v>
      </c>
      <c r="AE436" s="301">
        <v>1.55</v>
      </c>
      <c r="AF436" s="301">
        <v>1.0296</v>
      </c>
      <c r="AG436" s="301">
        <v>0.1018</v>
      </c>
      <c r="AH436" s="301">
        <v>3.3158</v>
      </c>
      <c r="AI436" s="301">
        <v>0.2818</v>
      </c>
      <c r="AJ436" s="301">
        <v>0.4987</v>
      </c>
      <c r="AK436" s="301">
        <v>4.8804</v>
      </c>
      <c r="AL436">
        <v>181</v>
      </c>
      <c r="AM436" t="s">
        <v>413</v>
      </c>
    </row>
    <row r="437" spans="1:39" ht="15">
      <c r="A437" s="470">
        <v>41171</v>
      </c>
      <c r="B437" s="301">
        <v>0.1027</v>
      </c>
      <c r="C437" s="301">
        <v>3.1631</v>
      </c>
      <c r="D437" s="301">
        <v>3.3041</v>
      </c>
      <c r="E437" s="301">
        <v>0.4081</v>
      </c>
      <c r="F437" s="301">
        <v>3.2465</v>
      </c>
      <c r="G437" s="301">
        <v>2.6168</v>
      </c>
      <c r="H437" s="301">
        <v>2.5839</v>
      </c>
      <c r="I437" s="301">
        <v>4.1217</v>
      </c>
      <c r="J437" s="301">
        <v>1.453</v>
      </c>
      <c r="K437" s="301">
        <v>3.4075</v>
      </c>
      <c r="L437" s="301">
        <v>5.137</v>
      </c>
      <c r="M437" s="301">
        <v>0.3871</v>
      </c>
      <c r="N437" s="301">
        <v>4.0083</v>
      </c>
      <c r="O437" s="301">
        <v>0.1655</v>
      </c>
      <c r="P437" s="301">
        <v>0.553</v>
      </c>
      <c r="R437" s="301">
        <v>2.5809</v>
      </c>
      <c r="S437" s="301">
        <v>0.5531</v>
      </c>
      <c r="U437" s="301">
        <v>0.4821</v>
      </c>
      <c r="V437" s="301">
        <v>0.5571</v>
      </c>
      <c r="W437" s="301">
        <v>0.9156</v>
      </c>
      <c r="X437" s="301">
        <v>2.1074</v>
      </c>
      <c r="Y437" s="301">
        <v>1.7644</v>
      </c>
      <c r="Z437" s="301">
        <v>1.1937</v>
      </c>
      <c r="AA437" s="301">
        <v>5.9194</v>
      </c>
      <c r="AB437" s="301">
        <v>0.076</v>
      </c>
      <c r="AC437" s="301">
        <v>0.2471</v>
      </c>
      <c r="AD437" s="301">
        <v>0.3852</v>
      </c>
      <c r="AE437" s="301">
        <v>1.5628</v>
      </c>
      <c r="AF437" s="301">
        <v>1.0344</v>
      </c>
      <c r="AG437" s="301">
        <v>0.1021</v>
      </c>
      <c r="AH437" s="301">
        <v>3.3131</v>
      </c>
      <c r="AI437" s="301">
        <v>0.2836</v>
      </c>
      <c r="AJ437" s="301">
        <v>0.5014</v>
      </c>
      <c r="AK437" s="301">
        <v>4.8843</v>
      </c>
      <c r="AL437">
        <v>182</v>
      </c>
      <c r="AM437" t="s">
        <v>413</v>
      </c>
    </row>
    <row r="438" spans="1:39" ht="15">
      <c r="A438" s="470">
        <v>41172</v>
      </c>
      <c r="B438" s="301">
        <v>0.104</v>
      </c>
      <c r="C438" s="301">
        <v>3.2092</v>
      </c>
      <c r="D438" s="301">
        <v>3.3384</v>
      </c>
      <c r="E438" s="301">
        <v>0.4142</v>
      </c>
      <c r="F438" s="301">
        <v>3.2814</v>
      </c>
      <c r="G438" s="301">
        <v>2.6447</v>
      </c>
      <c r="H438" s="301">
        <v>2.6195</v>
      </c>
      <c r="I438" s="301">
        <v>4.1635</v>
      </c>
      <c r="J438" s="301">
        <v>1.4645</v>
      </c>
      <c r="K438" s="301">
        <v>3.444</v>
      </c>
      <c r="L438" s="301">
        <v>5.2018</v>
      </c>
      <c r="M438" s="301">
        <v>0.3954</v>
      </c>
      <c r="N438" s="301">
        <v>4.1056</v>
      </c>
      <c r="O438" s="301">
        <v>0.1677</v>
      </c>
      <c r="P438" s="301">
        <v>0.5585</v>
      </c>
      <c r="R438" s="301">
        <v>2.6054</v>
      </c>
      <c r="S438" s="301">
        <v>0.5604</v>
      </c>
      <c r="U438" s="301">
        <v>0.4906</v>
      </c>
      <c r="V438" s="301">
        <v>0.5627</v>
      </c>
      <c r="W438" s="301">
        <v>0.9234</v>
      </c>
      <c r="X438" s="301">
        <v>2.1288</v>
      </c>
      <c r="Y438" s="301">
        <v>1.7836</v>
      </c>
      <c r="Z438" s="301">
        <v>1.2058</v>
      </c>
      <c r="AA438" s="301">
        <v>5.9812</v>
      </c>
      <c r="AB438" s="301">
        <v>0.0768</v>
      </c>
      <c r="AC438" s="301">
        <v>0.2487</v>
      </c>
      <c r="AD438" s="301">
        <v>0.3853</v>
      </c>
      <c r="AE438" s="301">
        <v>1.5847</v>
      </c>
      <c r="AF438" s="301">
        <v>1.0465</v>
      </c>
      <c r="AG438" s="301">
        <v>0.1019</v>
      </c>
      <c r="AH438" s="301">
        <v>3.362</v>
      </c>
      <c r="AI438" s="301">
        <v>0.2858</v>
      </c>
      <c r="AJ438" s="301">
        <v>0.5094</v>
      </c>
      <c r="AK438" s="301">
        <v>4.942</v>
      </c>
      <c r="AL438">
        <v>183</v>
      </c>
      <c r="AM438" t="s">
        <v>413</v>
      </c>
    </row>
    <row r="439" spans="1:39" ht="15">
      <c r="A439" s="470">
        <v>41173</v>
      </c>
      <c r="B439" s="301">
        <v>0.1029</v>
      </c>
      <c r="C439" s="301">
        <v>3.1712</v>
      </c>
      <c r="D439" s="301">
        <v>3.3323</v>
      </c>
      <c r="E439" s="301">
        <v>0.409</v>
      </c>
      <c r="F439" s="301">
        <v>3.2551</v>
      </c>
      <c r="G439" s="301">
        <v>2.6398</v>
      </c>
      <c r="H439" s="301">
        <v>2.5933</v>
      </c>
      <c r="I439" s="301">
        <v>4.134</v>
      </c>
      <c r="J439" s="301">
        <v>1.4663</v>
      </c>
      <c r="K439" s="301">
        <v>3.4126</v>
      </c>
      <c r="L439" s="301">
        <v>5.1678</v>
      </c>
      <c r="M439" s="301">
        <v>0.3902</v>
      </c>
      <c r="N439" s="301">
        <v>4.0533</v>
      </c>
      <c r="O439" s="301">
        <v>0.1669</v>
      </c>
      <c r="P439" s="301">
        <v>0.5545</v>
      </c>
      <c r="R439" s="301">
        <v>2.5789</v>
      </c>
      <c r="S439" s="301">
        <v>0.556</v>
      </c>
      <c r="U439" s="301">
        <v>0.4864</v>
      </c>
      <c r="V439" s="301">
        <v>0.5591</v>
      </c>
      <c r="W439" s="301">
        <v>0.9162</v>
      </c>
      <c r="X439" s="301">
        <v>2.1137</v>
      </c>
      <c r="Y439" s="301">
        <v>1.7686</v>
      </c>
      <c r="Z439" s="301">
        <v>1.1973</v>
      </c>
      <c r="AA439" s="301">
        <v>5.9379</v>
      </c>
      <c r="AB439" s="301">
        <v>0.0761</v>
      </c>
      <c r="AC439" s="301">
        <v>0.2477</v>
      </c>
      <c r="AD439" s="301">
        <v>0.3844</v>
      </c>
      <c r="AE439" s="301">
        <v>1.567</v>
      </c>
      <c r="AF439" s="301">
        <v>1.0395</v>
      </c>
      <c r="AG439" s="301">
        <v>0.1025</v>
      </c>
      <c r="AH439" s="301">
        <v>3.3166</v>
      </c>
      <c r="AI439" s="301">
        <v>0.2833</v>
      </c>
      <c r="AJ439" s="301">
        <v>0.5029</v>
      </c>
      <c r="AK439" s="301">
        <v>4.9219</v>
      </c>
      <c r="AL439">
        <v>184</v>
      </c>
      <c r="AM439" t="s">
        <v>413</v>
      </c>
    </row>
    <row r="440" spans="1:39" ht="15">
      <c r="A440" s="470">
        <v>41176</v>
      </c>
      <c r="B440" s="301">
        <v>0.104</v>
      </c>
      <c r="C440" s="301">
        <v>3.218</v>
      </c>
      <c r="D440" s="301">
        <v>3.347</v>
      </c>
      <c r="E440" s="301">
        <v>0.4151</v>
      </c>
      <c r="F440" s="301">
        <v>3.2834</v>
      </c>
      <c r="G440" s="301">
        <v>2.646</v>
      </c>
      <c r="H440" s="301">
        <v>2.6206</v>
      </c>
      <c r="I440" s="301">
        <v>4.1528</v>
      </c>
      <c r="J440" s="301">
        <v>1.4648</v>
      </c>
      <c r="K440" s="301">
        <v>3.4356</v>
      </c>
      <c r="L440" s="301">
        <v>5.2128</v>
      </c>
      <c r="M440" s="301">
        <v>0.3936</v>
      </c>
      <c r="N440" s="301">
        <v>4.125</v>
      </c>
      <c r="O440" s="301">
        <v>0.1665</v>
      </c>
      <c r="P440" s="301">
        <v>0.557</v>
      </c>
      <c r="R440" s="301">
        <v>2.5947</v>
      </c>
      <c r="S440" s="301">
        <v>0.5581</v>
      </c>
      <c r="U440" s="301">
        <v>0.4881</v>
      </c>
      <c r="V440" s="301">
        <v>0.5592</v>
      </c>
      <c r="W440" s="301">
        <v>0.9194</v>
      </c>
      <c r="X440" s="301">
        <v>2.1233</v>
      </c>
      <c r="Y440" s="301">
        <v>1.7883</v>
      </c>
      <c r="Z440" s="301">
        <v>1.2027</v>
      </c>
      <c r="AA440" s="301">
        <v>5.9641</v>
      </c>
      <c r="AB440" s="301">
        <v>0.077</v>
      </c>
      <c r="AC440" s="301">
        <v>0.249</v>
      </c>
      <c r="AD440" s="301">
        <v>0.3882</v>
      </c>
      <c r="AE440" s="301">
        <v>1.5903</v>
      </c>
      <c r="AF440" s="301">
        <v>1.0472</v>
      </c>
      <c r="AG440" s="301">
        <v>0.1028</v>
      </c>
      <c r="AH440" s="301">
        <v>3.3613</v>
      </c>
      <c r="AI440" s="301">
        <v>0.2873</v>
      </c>
      <c r="AJ440" s="301">
        <v>0.5101</v>
      </c>
      <c r="AK440" s="301">
        <v>4.9416</v>
      </c>
      <c r="AL440">
        <v>185</v>
      </c>
      <c r="AM440" t="s">
        <v>413</v>
      </c>
    </row>
    <row r="441" spans="1:39" ht="15">
      <c r="A441" s="470">
        <v>41177</v>
      </c>
      <c r="B441" s="301">
        <v>0.1039</v>
      </c>
      <c r="C441" s="301">
        <v>3.2136</v>
      </c>
      <c r="D441" s="301">
        <v>3.3496</v>
      </c>
      <c r="E441" s="301">
        <v>0.4144</v>
      </c>
      <c r="F441" s="301">
        <v>3.2784</v>
      </c>
      <c r="G441" s="301">
        <v>2.6496</v>
      </c>
      <c r="H441" s="301">
        <v>2.6176</v>
      </c>
      <c r="I441" s="301">
        <v>4.1475</v>
      </c>
      <c r="J441" s="301">
        <v>1.4647</v>
      </c>
      <c r="K441" s="301">
        <v>3.4301</v>
      </c>
      <c r="L441" s="301">
        <v>5.2167</v>
      </c>
      <c r="M441" s="301">
        <v>0.3949</v>
      </c>
      <c r="N441" s="301">
        <v>4.1349</v>
      </c>
      <c r="O441" s="301">
        <v>0.1662</v>
      </c>
      <c r="P441" s="301">
        <v>0.5563</v>
      </c>
      <c r="R441" s="301">
        <v>2.5914</v>
      </c>
      <c r="S441" s="301">
        <v>0.5616</v>
      </c>
      <c r="U441" s="301">
        <v>0.49</v>
      </c>
      <c r="V441" s="301">
        <v>0.5584</v>
      </c>
      <c r="W441" s="301">
        <v>0.9186</v>
      </c>
      <c r="X441" s="301">
        <v>2.1206</v>
      </c>
      <c r="Y441" s="301">
        <v>1.7894</v>
      </c>
      <c r="Z441" s="301">
        <v>1.2012</v>
      </c>
      <c r="AA441" s="301">
        <v>5.9573</v>
      </c>
      <c r="AB441" s="301">
        <v>0.0769</v>
      </c>
      <c r="AC441" s="301">
        <v>0.2487</v>
      </c>
      <c r="AD441" s="301">
        <v>0.391</v>
      </c>
      <c r="AE441" s="301">
        <v>1.585</v>
      </c>
      <c r="AF441" s="301">
        <v>1.0462</v>
      </c>
      <c r="AG441" s="301">
        <v>0.1033</v>
      </c>
      <c r="AH441" s="301">
        <v>3.3511</v>
      </c>
      <c r="AI441" s="301">
        <v>0.2871</v>
      </c>
      <c r="AJ441" s="301">
        <v>0.5094</v>
      </c>
      <c r="AK441" s="301">
        <v>4.9475</v>
      </c>
      <c r="AL441">
        <v>186</v>
      </c>
      <c r="AM441" t="s">
        <v>413</v>
      </c>
    </row>
    <row r="442" spans="1:39" ht="15">
      <c r="A442" s="470">
        <v>41178</v>
      </c>
      <c r="B442" s="301">
        <v>0.104</v>
      </c>
      <c r="C442" s="301">
        <v>3.2187</v>
      </c>
      <c r="D442" s="301">
        <v>3.3339</v>
      </c>
      <c r="E442" s="301">
        <v>0.4151</v>
      </c>
      <c r="F442" s="301">
        <v>3.2784</v>
      </c>
      <c r="G442" s="301">
        <v>2.6403</v>
      </c>
      <c r="H442" s="301">
        <v>2.6118</v>
      </c>
      <c r="I442" s="301">
        <v>4.1415</v>
      </c>
      <c r="J442" s="301">
        <v>1.4512</v>
      </c>
      <c r="K442" s="301">
        <v>3.4251</v>
      </c>
      <c r="L442" s="301">
        <v>5.2094</v>
      </c>
      <c r="M442" s="301">
        <v>0.3951</v>
      </c>
      <c r="N442" s="301">
        <v>4.1471</v>
      </c>
      <c r="O442" s="301">
        <v>0.1661</v>
      </c>
      <c r="P442" s="301">
        <v>0.5554</v>
      </c>
      <c r="R442" s="301">
        <v>2.588</v>
      </c>
      <c r="S442" s="301">
        <v>0.5607</v>
      </c>
      <c r="U442" s="301">
        <v>0.488</v>
      </c>
      <c r="V442" s="301">
        <v>0.5562</v>
      </c>
      <c r="W442" s="301">
        <v>0.9166</v>
      </c>
      <c r="X442" s="301">
        <v>2.1175</v>
      </c>
      <c r="Y442" s="301">
        <v>1.7952</v>
      </c>
      <c r="Z442" s="301">
        <v>1.1995</v>
      </c>
      <c r="AA442" s="301">
        <v>5.9496</v>
      </c>
      <c r="AB442" s="301">
        <v>0.0766</v>
      </c>
      <c r="AC442" s="301">
        <v>0.2497</v>
      </c>
      <c r="AD442" s="301">
        <v>0.3914</v>
      </c>
      <c r="AE442" s="301">
        <v>1.5852</v>
      </c>
      <c r="AF442" s="301">
        <v>1.0443</v>
      </c>
      <c r="AG442" s="301">
        <v>0.1032</v>
      </c>
      <c r="AH442" s="301">
        <v>3.3536</v>
      </c>
      <c r="AI442" s="301">
        <v>0.2874</v>
      </c>
      <c r="AJ442" s="301">
        <v>0.5108</v>
      </c>
      <c r="AK442" s="301">
        <v>4.9368</v>
      </c>
      <c r="AL442">
        <v>187</v>
      </c>
      <c r="AM442" t="s">
        <v>413</v>
      </c>
    </row>
    <row r="443" spans="1:39" ht="15">
      <c r="A443" s="470">
        <v>41179</v>
      </c>
      <c r="B443" s="301">
        <v>0.1042</v>
      </c>
      <c r="C443" s="301">
        <v>3.2236</v>
      </c>
      <c r="D443" s="301">
        <v>3.3524</v>
      </c>
      <c r="E443" s="301">
        <v>0.4158</v>
      </c>
      <c r="F443" s="301">
        <v>3.2777</v>
      </c>
      <c r="G443" s="301">
        <v>2.6635</v>
      </c>
      <c r="H443" s="301">
        <v>2.6237</v>
      </c>
      <c r="I443" s="301">
        <v>4.1518</v>
      </c>
      <c r="J443" s="301">
        <v>1.4556</v>
      </c>
      <c r="K443" s="301">
        <v>3.4342</v>
      </c>
      <c r="L443" s="301">
        <v>5.2198</v>
      </c>
      <c r="M443" s="301">
        <v>0.3973</v>
      </c>
      <c r="N443" s="301">
        <v>4.1497</v>
      </c>
      <c r="O443" s="301">
        <v>0.1667</v>
      </c>
      <c r="P443" s="301">
        <v>0.5569</v>
      </c>
      <c r="R443" s="301">
        <v>2.59</v>
      </c>
      <c r="S443" s="301">
        <v>0.5601</v>
      </c>
      <c r="U443" s="301">
        <v>0.4889</v>
      </c>
      <c r="V443" s="301">
        <v>0.557</v>
      </c>
      <c r="W443" s="301">
        <v>0.9195</v>
      </c>
      <c r="X443" s="301">
        <v>2.1228</v>
      </c>
      <c r="Y443" s="301">
        <v>1.8004</v>
      </c>
      <c r="Z443" s="301">
        <v>1.2024</v>
      </c>
      <c r="AA443" s="301">
        <v>5.9627</v>
      </c>
      <c r="AB443" s="301">
        <v>0.077</v>
      </c>
      <c r="AC443" s="301">
        <v>0.2503</v>
      </c>
      <c r="AD443" s="301">
        <v>0.3927</v>
      </c>
      <c r="AE443" s="301">
        <v>1.5835</v>
      </c>
      <c r="AF443" s="301">
        <v>1.0489</v>
      </c>
      <c r="AG443" s="301">
        <v>0.1033</v>
      </c>
      <c r="AH443" s="301">
        <v>3.3601</v>
      </c>
      <c r="AI443" s="301">
        <v>0.2887</v>
      </c>
      <c r="AJ443" s="301">
        <v>0.5116</v>
      </c>
      <c r="AK443" s="301">
        <v>4.9757</v>
      </c>
      <c r="AL443">
        <v>188</v>
      </c>
      <c r="AM443" t="s">
        <v>413</v>
      </c>
    </row>
    <row r="444" spans="1:39" ht="15">
      <c r="A444" s="470">
        <v>41180</v>
      </c>
      <c r="B444" s="301">
        <v>0.1036</v>
      </c>
      <c r="C444" s="301">
        <v>3.178</v>
      </c>
      <c r="D444" s="301">
        <v>3.3232</v>
      </c>
      <c r="E444" s="301">
        <v>0.4105</v>
      </c>
      <c r="F444" s="301">
        <v>3.2474</v>
      </c>
      <c r="G444" s="301">
        <v>2.6504</v>
      </c>
      <c r="H444" s="301">
        <v>2.5941</v>
      </c>
      <c r="I444" s="301">
        <v>4.1138</v>
      </c>
      <c r="J444" s="301">
        <v>1.4502</v>
      </c>
      <c r="K444" s="301">
        <v>3.4008</v>
      </c>
      <c r="L444" s="301">
        <v>5.1571</v>
      </c>
      <c r="M444" s="301">
        <v>0.392</v>
      </c>
      <c r="N444" s="301">
        <v>4.095</v>
      </c>
      <c r="O444" s="301">
        <v>0.1634</v>
      </c>
      <c r="P444" s="301">
        <v>0.5519</v>
      </c>
      <c r="R444" s="301">
        <v>2.5663</v>
      </c>
      <c r="S444" s="301">
        <v>0.5591</v>
      </c>
      <c r="U444" s="301">
        <v>0.488</v>
      </c>
      <c r="V444" s="301">
        <v>0.5534</v>
      </c>
      <c r="W444" s="301">
        <v>0.9076</v>
      </c>
      <c r="X444" s="301">
        <v>2.1034</v>
      </c>
      <c r="Y444" s="301">
        <v>1.771</v>
      </c>
      <c r="Z444" s="301">
        <v>1.1914</v>
      </c>
      <c r="AA444" s="301">
        <v>5.9089</v>
      </c>
      <c r="AB444" s="301">
        <v>0.0761</v>
      </c>
      <c r="AC444" s="301">
        <v>0.2481</v>
      </c>
      <c r="AD444" s="301">
        <v>0.3863</v>
      </c>
      <c r="AE444" s="301">
        <v>1.5651</v>
      </c>
      <c r="AF444" s="301">
        <v>1.0391</v>
      </c>
      <c r="AG444" s="301">
        <v>0.1028</v>
      </c>
      <c r="AH444" s="301">
        <v>3.3199</v>
      </c>
      <c r="AI444" s="301">
        <v>0.2857</v>
      </c>
      <c r="AJ444" s="301">
        <v>0.5057</v>
      </c>
      <c r="AK444" s="301">
        <v>4.9203</v>
      </c>
      <c r="AL444">
        <v>189</v>
      </c>
      <c r="AM444" t="s">
        <v>413</v>
      </c>
    </row>
    <row r="445" spans="1:39" ht="15">
      <c r="A445" s="470">
        <v>41183</v>
      </c>
      <c r="B445" s="301">
        <v>0.1035</v>
      </c>
      <c r="C445" s="301">
        <v>3.1809</v>
      </c>
      <c r="D445" s="301">
        <v>3.3037</v>
      </c>
      <c r="E445" s="301">
        <v>0.4103</v>
      </c>
      <c r="F445" s="301">
        <v>3.2399</v>
      </c>
      <c r="G445" s="301">
        <v>2.645</v>
      </c>
      <c r="H445" s="301">
        <v>2.59</v>
      </c>
      <c r="I445" s="301">
        <v>4.102</v>
      </c>
      <c r="J445" s="301">
        <v>1.4397</v>
      </c>
      <c r="K445" s="301">
        <v>3.3925</v>
      </c>
      <c r="L445" s="301">
        <v>5.1384</v>
      </c>
      <c r="M445" s="301">
        <v>0.3906</v>
      </c>
      <c r="N445" s="301">
        <v>4.0775</v>
      </c>
      <c r="O445" s="301">
        <v>0.1636</v>
      </c>
      <c r="P445" s="301">
        <v>0.5502</v>
      </c>
      <c r="R445" s="301">
        <v>2.567</v>
      </c>
      <c r="S445" s="301">
        <v>0.5566</v>
      </c>
      <c r="U445" s="301">
        <v>0.4849</v>
      </c>
      <c r="V445" s="301">
        <v>0.5523</v>
      </c>
      <c r="W445" s="301">
        <v>0.9052</v>
      </c>
      <c r="X445" s="301">
        <v>2.0974</v>
      </c>
      <c r="Y445" s="301">
        <v>1.7704</v>
      </c>
      <c r="Z445" s="301">
        <v>1.188</v>
      </c>
      <c r="AA445" s="301">
        <v>5.8928</v>
      </c>
      <c r="AB445" s="301">
        <v>0.0762</v>
      </c>
      <c r="AC445" s="301">
        <v>0.2476</v>
      </c>
      <c r="AD445" s="301">
        <v>0.3846</v>
      </c>
      <c r="AE445" s="301">
        <v>1.5677</v>
      </c>
      <c r="AF445" s="301">
        <v>1.0393</v>
      </c>
      <c r="AG445" s="301">
        <v>0.1022</v>
      </c>
      <c r="AH445" s="301">
        <v>3.3136</v>
      </c>
      <c r="AI445" s="301">
        <v>0.2855</v>
      </c>
      <c r="AJ445" s="301">
        <v>0.5061</v>
      </c>
      <c r="AK445" s="301">
        <v>4.8925</v>
      </c>
      <c r="AL445">
        <v>190</v>
      </c>
      <c r="AM445" t="s">
        <v>413</v>
      </c>
    </row>
    <row r="446" spans="1:39" ht="15">
      <c r="A446" s="470">
        <v>41184</v>
      </c>
      <c r="B446" s="301">
        <v>0.1037</v>
      </c>
      <c r="C446" s="301">
        <v>3.1833</v>
      </c>
      <c r="D446" s="301">
        <v>3.2811</v>
      </c>
      <c r="E446" s="301">
        <v>0.4106</v>
      </c>
      <c r="F446" s="301">
        <v>3.243</v>
      </c>
      <c r="G446" s="301">
        <v>2.6434</v>
      </c>
      <c r="H446" s="301">
        <v>2.5912</v>
      </c>
      <c r="I446" s="301">
        <v>4.1115</v>
      </c>
      <c r="J446" s="301">
        <v>1.4381</v>
      </c>
      <c r="K446" s="301">
        <v>3.3982</v>
      </c>
      <c r="L446" s="301">
        <v>5.1436</v>
      </c>
      <c r="M446" s="301">
        <v>0.3905</v>
      </c>
      <c r="N446" s="301">
        <v>4.0758</v>
      </c>
      <c r="O446" s="301">
        <v>0.1637</v>
      </c>
      <c r="P446" s="301">
        <v>0.5515</v>
      </c>
      <c r="R446" s="301">
        <v>2.5761</v>
      </c>
      <c r="S446" s="301">
        <v>0.5571</v>
      </c>
      <c r="U446" s="301">
        <v>0.4827</v>
      </c>
      <c r="V446" s="301">
        <v>0.5527</v>
      </c>
      <c r="W446" s="301">
        <v>0.9084</v>
      </c>
      <c r="X446" s="301">
        <v>2.1022</v>
      </c>
      <c r="Y446" s="301">
        <v>1.7748</v>
      </c>
      <c r="Z446" s="301">
        <v>1.1908</v>
      </c>
      <c r="AA446" s="301">
        <v>5.9056</v>
      </c>
      <c r="AB446" s="301">
        <v>0.0764</v>
      </c>
      <c r="AC446" s="301">
        <v>0.2483</v>
      </c>
      <c r="AD446" s="301">
        <v>0.3824</v>
      </c>
      <c r="AE446" s="301">
        <v>1.5696</v>
      </c>
      <c r="AF446" s="301">
        <v>1.0439</v>
      </c>
      <c r="AG446" s="301">
        <v>0.1024</v>
      </c>
      <c r="AH446" s="301">
        <v>3.3213</v>
      </c>
      <c r="AI446" s="301">
        <v>0.2859</v>
      </c>
      <c r="AJ446" s="301">
        <v>0.5066</v>
      </c>
      <c r="AK446" s="301">
        <v>4.9171</v>
      </c>
      <c r="AL446">
        <v>191</v>
      </c>
      <c r="AM446" t="s">
        <v>413</v>
      </c>
    </row>
    <row r="447" spans="1:39" ht="15">
      <c r="A447" s="470">
        <v>41185</v>
      </c>
      <c r="B447" s="301">
        <v>0.1041</v>
      </c>
      <c r="C447" s="301">
        <v>3.1896</v>
      </c>
      <c r="D447" s="301">
        <v>3.2559</v>
      </c>
      <c r="E447" s="301">
        <v>0.4113</v>
      </c>
      <c r="F447" s="301">
        <v>3.2308</v>
      </c>
      <c r="G447" s="301">
        <v>2.6175</v>
      </c>
      <c r="H447" s="301">
        <v>2.5899</v>
      </c>
      <c r="I447" s="301">
        <v>4.1202</v>
      </c>
      <c r="J447" s="301">
        <v>1.4404</v>
      </c>
      <c r="K447" s="301">
        <v>3.4044</v>
      </c>
      <c r="L447" s="301">
        <v>5.1416</v>
      </c>
      <c r="M447" s="301">
        <v>0.3914</v>
      </c>
      <c r="N447" s="301">
        <v>4.078</v>
      </c>
      <c r="O447" s="301">
        <v>0.1648</v>
      </c>
      <c r="P447" s="301">
        <v>0.5526</v>
      </c>
      <c r="R447" s="301">
        <v>2.5921</v>
      </c>
      <c r="S447" s="301">
        <v>0.5574</v>
      </c>
      <c r="U447" s="301">
        <v>0.4801</v>
      </c>
      <c r="V447" s="301">
        <v>0.5526</v>
      </c>
      <c r="W447" s="301">
        <v>0.9092</v>
      </c>
      <c r="X447" s="301">
        <v>2.1067</v>
      </c>
      <c r="Y447" s="301">
        <v>1.779</v>
      </c>
      <c r="Z447" s="301">
        <v>1.1933</v>
      </c>
      <c r="AA447" s="301">
        <v>5.919</v>
      </c>
      <c r="AB447" s="301">
        <v>0.0767</v>
      </c>
      <c r="AC447" s="301">
        <v>0.2477</v>
      </c>
      <c r="AD447" s="301">
        <v>0.3785</v>
      </c>
      <c r="AE447" s="301">
        <v>1.5732</v>
      </c>
      <c r="AF447" s="301">
        <v>1.0424</v>
      </c>
      <c r="AG447" s="301">
        <v>0.1025</v>
      </c>
      <c r="AH447" s="301">
        <v>3.3227</v>
      </c>
      <c r="AI447" s="301">
        <v>0.2865</v>
      </c>
      <c r="AJ447" s="301">
        <v>0.5076</v>
      </c>
      <c r="AK447" s="301">
        <v>4.9088</v>
      </c>
      <c r="AL447">
        <v>192</v>
      </c>
      <c r="AM447" t="s">
        <v>413</v>
      </c>
    </row>
    <row r="448" spans="1:39" ht="15">
      <c r="A448" s="470">
        <v>41186</v>
      </c>
      <c r="B448" s="301">
        <v>0.1036</v>
      </c>
      <c r="C448" s="301">
        <v>3.1646</v>
      </c>
      <c r="D448" s="301">
        <v>3.2303</v>
      </c>
      <c r="E448" s="301">
        <v>0.4081</v>
      </c>
      <c r="F448" s="301">
        <v>3.2083</v>
      </c>
      <c r="G448" s="301">
        <v>2.5949</v>
      </c>
      <c r="H448" s="301">
        <v>2.5733</v>
      </c>
      <c r="I448" s="301">
        <v>4.0933</v>
      </c>
      <c r="J448" s="301">
        <v>1.4319</v>
      </c>
      <c r="K448" s="301">
        <v>3.3768</v>
      </c>
      <c r="L448" s="301">
        <v>5.0997</v>
      </c>
      <c r="M448" s="301">
        <v>0.3878</v>
      </c>
      <c r="N448" s="301">
        <v>4.0302</v>
      </c>
      <c r="O448" s="301">
        <v>0.1635</v>
      </c>
      <c r="P448" s="301">
        <v>0.549</v>
      </c>
      <c r="R448" s="301">
        <v>2.576</v>
      </c>
      <c r="S448" s="301">
        <v>0.5514</v>
      </c>
      <c r="U448" s="301">
        <v>0.475</v>
      </c>
      <c r="V448" s="301">
        <v>0.5471</v>
      </c>
      <c r="W448" s="301">
        <v>0.9008</v>
      </c>
      <c r="X448" s="301">
        <v>2.0929</v>
      </c>
      <c r="Y448" s="301">
        <v>1.7502</v>
      </c>
      <c r="Z448" s="301">
        <v>1.1855</v>
      </c>
      <c r="AA448" s="301">
        <v>5.8795</v>
      </c>
      <c r="AB448" s="301">
        <v>0.0763</v>
      </c>
      <c r="AC448" s="301">
        <v>0.2475</v>
      </c>
      <c r="AD448" s="301">
        <v>0.3729</v>
      </c>
      <c r="AE448" s="301">
        <v>1.5637</v>
      </c>
      <c r="AF448" s="301">
        <v>1.0355</v>
      </c>
      <c r="AG448" s="301">
        <v>0.1015</v>
      </c>
      <c r="AH448" s="301">
        <v>3.3037</v>
      </c>
      <c r="AI448" s="301">
        <v>0.2842</v>
      </c>
      <c r="AJ448" s="301">
        <v>0.5036</v>
      </c>
      <c r="AK448" s="301">
        <v>4.8833</v>
      </c>
      <c r="AL448">
        <v>193</v>
      </c>
      <c r="AM448" t="s">
        <v>413</v>
      </c>
    </row>
    <row r="449" spans="1:39" ht="15">
      <c r="A449" s="470">
        <v>41187</v>
      </c>
      <c r="B449" s="301">
        <v>0.1027</v>
      </c>
      <c r="C449" s="301">
        <v>3.1353</v>
      </c>
      <c r="D449" s="301">
        <v>3.2118</v>
      </c>
      <c r="E449" s="301">
        <v>0.4044</v>
      </c>
      <c r="F449" s="301">
        <v>3.1977</v>
      </c>
      <c r="G449" s="301">
        <v>2.582</v>
      </c>
      <c r="H449" s="301">
        <v>2.5535</v>
      </c>
      <c r="I449" s="301">
        <v>4.0766</v>
      </c>
      <c r="J449" s="301">
        <v>1.4418</v>
      </c>
      <c r="K449" s="301">
        <v>3.3649</v>
      </c>
      <c r="L449" s="301">
        <v>5.0726</v>
      </c>
      <c r="M449" s="301">
        <v>0.3856</v>
      </c>
      <c r="N449" s="301">
        <v>3.9971</v>
      </c>
      <c r="O449" s="301">
        <v>0.164</v>
      </c>
      <c r="P449" s="301">
        <v>0.5467</v>
      </c>
      <c r="R449" s="301">
        <v>2.5655</v>
      </c>
      <c r="S449" s="301">
        <v>0.5511</v>
      </c>
      <c r="U449" s="301">
        <v>0.4743</v>
      </c>
      <c r="V449" s="301">
        <v>0.5455</v>
      </c>
      <c r="W449" s="301">
        <v>0.8937</v>
      </c>
      <c r="X449" s="301">
        <v>2.0844</v>
      </c>
      <c r="Y449" s="301">
        <v>1.7419</v>
      </c>
      <c r="Z449" s="301">
        <v>1.1807</v>
      </c>
      <c r="AA449" s="301">
        <v>5.8563</v>
      </c>
      <c r="AB449" s="301">
        <v>0.0757</v>
      </c>
      <c r="AC449" s="301">
        <v>0.2455</v>
      </c>
      <c r="AD449" s="301">
        <v>0.362</v>
      </c>
      <c r="AE449" s="301">
        <v>1.551</v>
      </c>
      <c r="AF449" s="301">
        <v>1.0262</v>
      </c>
      <c r="AG449" s="301">
        <v>0.1012</v>
      </c>
      <c r="AH449" s="301">
        <v>3.2737</v>
      </c>
      <c r="AI449" s="301">
        <v>0.2823</v>
      </c>
      <c r="AJ449" s="301">
        <v>0.4989</v>
      </c>
      <c r="AK449" s="301">
        <v>4.8494</v>
      </c>
      <c r="AL449">
        <v>194</v>
      </c>
      <c r="AM449" t="s">
        <v>413</v>
      </c>
    </row>
    <row r="450" spans="1:39" ht="15">
      <c r="A450" s="470">
        <v>41190</v>
      </c>
      <c r="B450" s="301">
        <v>0.1025</v>
      </c>
      <c r="C450" s="301">
        <v>3.143</v>
      </c>
      <c r="D450" s="301">
        <v>3.2002</v>
      </c>
      <c r="E450" s="301">
        <v>0.4054</v>
      </c>
      <c r="F450" s="301">
        <v>3.211</v>
      </c>
      <c r="G450" s="301">
        <v>2.5699</v>
      </c>
      <c r="H450" s="301">
        <v>2.554</v>
      </c>
      <c r="I450" s="301">
        <v>4.077</v>
      </c>
      <c r="J450" s="301">
        <v>1.4343</v>
      </c>
      <c r="K450" s="301">
        <v>3.3679</v>
      </c>
      <c r="L450" s="301">
        <v>5.0549</v>
      </c>
      <c r="M450" s="301">
        <v>0.3873</v>
      </c>
      <c r="N450" s="301">
        <v>4.0179</v>
      </c>
      <c r="O450" s="301">
        <v>0.1634</v>
      </c>
      <c r="P450" s="301">
        <v>0.5468</v>
      </c>
      <c r="R450" s="301">
        <v>2.5763</v>
      </c>
      <c r="S450" s="301">
        <v>0.5517</v>
      </c>
      <c r="U450" s="301">
        <v>0.4738</v>
      </c>
      <c r="V450" s="301">
        <v>0.5464</v>
      </c>
      <c r="W450" s="301">
        <v>0.889</v>
      </c>
      <c r="X450" s="301">
        <v>2.0846</v>
      </c>
      <c r="Y450" s="301">
        <v>1.741</v>
      </c>
      <c r="Z450" s="301">
        <v>1.1808</v>
      </c>
      <c r="AA450" s="301">
        <v>5.8561</v>
      </c>
      <c r="AB450" s="301">
        <v>0.0757</v>
      </c>
      <c r="AC450" s="301">
        <v>0.2452</v>
      </c>
      <c r="AD450" s="301">
        <v>0.3547</v>
      </c>
      <c r="AE450" s="301">
        <v>1.547</v>
      </c>
      <c r="AF450" s="301">
        <v>1.0249</v>
      </c>
      <c r="AG450" s="301">
        <v>0.101</v>
      </c>
      <c r="AH450" s="301">
        <v>3.257</v>
      </c>
      <c r="AI450" s="301">
        <v>0.2826</v>
      </c>
      <c r="AJ450" s="301">
        <v>0.4998</v>
      </c>
      <c r="AK450" s="301">
        <v>4.8422</v>
      </c>
      <c r="AL450">
        <v>195</v>
      </c>
      <c r="AM450" t="s">
        <v>413</v>
      </c>
    </row>
    <row r="451" spans="1:39" ht="15">
      <c r="A451" s="470">
        <v>41191</v>
      </c>
      <c r="B451" s="301">
        <v>0.1029</v>
      </c>
      <c r="C451" s="301">
        <v>3.1501</v>
      </c>
      <c r="D451" s="301">
        <v>3.2164</v>
      </c>
      <c r="E451" s="301">
        <v>0.4063</v>
      </c>
      <c r="F451" s="301">
        <v>3.2285</v>
      </c>
      <c r="G451" s="301">
        <v>2.5837</v>
      </c>
      <c r="H451" s="301">
        <v>2.562</v>
      </c>
      <c r="I451" s="301">
        <v>4.0721</v>
      </c>
      <c r="J451" s="301">
        <v>1.4346</v>
      </c>
      <c r="K451" s="301">
        <v>3.3613</v>
      </c>
      <c r="L451" s="301">
        <v>5.041</v>
      </c>
      <c r="M451" s="301">
        <v>0.3858</v>
      </c>
      <c r="N451" s="301">
        <v>4.0204</v>
      </c>
      <c r="O451" s="301">
        <v>0.1635</v>
      </c>
      <c r="P451" s="301">
        <v>0.5461</v>
      </c>
      <c r="R451" s="301">
        <v>2.5756</v>
      </c>
      <c r="S451" s="301">
        <v>0.5496</v>
      </c>
      <c r="U451" s="301">
        <v>0.473</v>
      </c>
      <c r="V451" s="301">
        <v>0.5441</v>
      </c>
      <c r="W451" s="301">
        <v>0.8909</v>
      </c>
      <c r="X451" s="301">
        <v>2.0821</v>
      </c>
      <c r="Y451" s="301">
        <v>1.7358</v>
      </c>
      <c r="Z451" s="301">
        <v>1.1794</v>
      </c>
      <c r="AA451" s="301">
        <v>5.849</v>
      </c>
      <c r="AB451" s="301">
        <v>0.076</v>
      </c>
      <c r="AC451" s="301">
        <v>0.2462</v>
      </c>
      <c r="AD451" s="301">
        <v>0.3582</v>
      </c>
      <c r="AE451" s="301">
        <v>1.5508</v>
      </c>
      <c r="AF451" s="301">
        <v>1.0254</v>
      </c>
      <c r="AG451" s="301">
        <v>0.1011</v>
      </c>
      <c r="AH451" s="301">
        <v>3.2531</v>
      </c>
      <c r="AI451" s="301">
        <v>0.2835</v>
      </c>
      <c r="AJ451" s="301">
        <v>0.501</v>
      </c>
      <c r="AK451" s="301">
        <v>4.8364</v>
      </c>
      <c r="AL451">
        <v>196</v>
      </c>
      <c r="AM451" t="s">
        <v>413</v>
      </c>
    </row>
    <row r="452" spans="1:39" ht="15">
      <c r="A452" s="470">
        <v>41192</v>
      </c>
      <c r="B452" s="301">
        <v>0.1033</v>
      </c>
      <c r="C452" s="301">
        <v>3.1695</v>
      </c>
      <c r="D452" s="301">
        <v>3.2449</v>
      </c>
      <c r="E452" s="301">
        <v>0.4088</v>
      </c>
      <c r="F452" s="301">
        <v>3.24</v>
      </c>
      <c r="G452" s="301">
        <v>2.5941</v>
      </c>
      <c r="H452" s="301">
        <v>2.5789</v>
      </c>
      <c r="I452" s="301">
        <v>4.0788</v>
      </c>
      <c r="J452" s="301">
        <v>1.4423</v>
      </c>
      <c r="K452" s="301">
        <v>3.3683</v>
      </c>
      <c r="L452" s="301">
        <v>5.0744</v>
      </c>
      <c r="M452" s="301">
        <v>0.3898</v>
      </c>
      <c r="N452" s="301">
        <v>4.0478</v>
      </c>
      <c r="O452" s="301">
        <v>0.1634</v>
      </c>
      <c r="P452" s="301">
        <v>0.5469</v>
      </c>
      <c r="R452" s="301">
        <v>2.5774</v>
      </c>
      <c r="S452" s="301">
        <v>0.5522</v>
      </c>
      <c r="U452" s="301">
        <v>0.4747</v>
      </c>
      <c r="V452" s="301">
        <v>0.5444</v>
      </c>
      <c r="W452" s="301">
        <v>0.893</v>
      </c>
      <c r="X452" s="301">
        <v>2.0855</v>
      </c>
      <c r="Y452" s="301">
        <v>1.7454</v>
      </c>
      <c r="Z452" s="301">
        <v>1.1813</v>
      </c>
      <c r="AA452" s="301">
        <v>5.8587</v>
      </c>
      <c r="AB452" s="301">
        <v>0.0763</v>
      </c>
      <c r="AC452" s="301">
        <v>0.2464</v>
      </c>
      <c r="AD452" s="301">
        <v>0.3655</v>
      </c>
      <c r="AE452" s="301">
        <v>1.5557</v>
      </c>
      <c r="AF452" s="301">
        <v>1.0312</v>
      </c>
      <c r="AG452" s="301">
        <v>0.1018</v>
      </c>
      <c r="AH452" s="301">
        <v>3.3023</v>
      </c>
      <c r="AI452" s="301">
        <v>0.2844</v>
      </c>
      <c r="AJ452" s="301">
        <v>0.5044</v>
      </c>
      <c r="AK452" s="301">
        <v>4.8467</v>
      </c>
      <c r="AL452">
        <v>197</v>
      </c>
      <c r="AM452" t="s">
        <v>413</v>
      </c>
    </row>
    <row r="453" spans="1:39" ht="15">
      <c r="A453" s="470">
        <v>41193</v>
      </c>
      <c r="B453" s="301">
        <v>0.1037</v>
      </c>
      <c r="C453" s="301">
        <v>3.1819</v>
      </c>
      <c r="D453" s="301">
        <v>3.2706</v>
      </c>
      <c r="E453" s="301">
        <v>0.4105</v>
      </c>
      <c r="F453" s="301">
        <v>3.2488</v>
      </c>
      <c r="G453" s="301">
        <v>2.6031</v>
      </c>
      <c r="H453" s="301">
        <v>2.5909</v>
      </c>
      <c r="I453" s="301">
        <v>4.0987</v>
      </c>
      <c r="J453" s="301">
        <v>1.4511</v>
      </c>
      <c r="K453" s="301">
        <v>3.3942</v>
      </c>
      <c r="L453" s="301">
        <v>5.0976</v>
      </c>
      <c r="M453" s="301">
        <v>0.3917</v>
      </c>
      <c r="N453" s="301">
        <v>4.0763</v>
      </c>
      <c r="O453" s="301">
        <v>0.1642</v>
      </c>
      <c r="P453" s="301">
        <v>0.5496</v>
      </c>
      <c r="R453" s="301">
        <v>2.5867</v>
      </c>
      <c r="S453" s="301">
        <v>0.5553</v>
      </c>
      <c r="U453" s="301">
        <v>0.4739</v>
      </c>
      <c r="V453" s="301">
        <v>0.5457</v>
      </c>
      <c r="W453" s="301">
        <v>0.8976</v>
      </c>
      <c r="X453" s="301">
        <v>2.0957</v>
      </c>
      <c r="Y453" s="301">
        <v>1.7558</v>
      </c>
      <c r="Z453" s="301">
        <v>1.187</v>
      </c>
      <c r="AA453" s="301">
        <v>5.8872</v>
      </c>
      <c r="AB453" s="301">
        <v>0.0766</v>
      </c>
      <c r="AC453" s="301">
        <v>0.2464</v>
      </c>
      <c r="AD453" s="301">
        <v>0.367</v>
      </c>
      <c r="AE453" s="301">
        <v>1.5576</v>
      </c>
      <c r="AF453" s="301">
        <v>1.0367</v>
      </c>
      <c r="AG453" s="301">
        <v>0.1022</v>
      </c>
      <c r="AH453" s="301">
        <v>3.3134</v>
      </c>
      <c r="AI453" s="301">
        <v>0.2857</v>
      </c>
      <c r="AJ453" s="301">
        <v>0.5069</v>
      </c>
      <c r="AK453" s="301">
        <v>4.8852</v>
      </c>
      <c r="AL453">
        <v>198</v>
      </c>
      <c r="AM453" t="s">
        <v>413</v>
      </c>
    </row>
    <row r="454" spans="1:39" ht="15">
      <c r="A454" s="470">
        <v>41194</v>
      </c>
      <c r="B454" s="301">
        <v>0.1032</v>
      </c>
      <c r="C454" s="301">
        <v>3.1577</v>
      </c>
      <c r="D454" s="301">
        <v>3.2453</v>
      </c>
      <c r="E454" s="301">
        <v>0.4074</v>
      </c>
      <c r="F454" s="301">
        <v>3.2293</v>
      </c>
      <c r="G454" s="301">
        <v>2.5881</v>
      </c>
      <c r="H454" s="301">
        <v>2.585</v>
      </c>
      <c r="I454" s="301">
        <v>4.0957</v>
      </c>
      <c r="J454" s="301">
        <v>1.4542</v>
      </c>
      <c r="K454" s="301">
        <v>3.3866</v>
      </c>
      <c r="L454" s="301">
        <v>5.0714</v>
      </c>
      <c r="M454" s="301">
        <v>0.3883</v>
      </c>
      <c r="N454" s="301">
        <v>4.0251</v>
      </c>
      <c r="O454" s="301">
        <v>0.1644</v>
      </c>
      <c r="P454" s="301">
        <v>0.5491</v>
      </c>
      <c r="R454" s="301">
        <v>2.5727</v>
      </c>
      <c r="S454" s="301">
        <v>0.5546</v>
      </c>
      <c r="U454" s="301">
        <v>0.4728</v>
      </c>
      <c r="V454" s="301">
        <v>0.5445</v>
      </c>
      <c r="W454" s="301">
        <v>0.8972</v>
      </c>
      <c r="X454" s="301">
        <v>2.0941</v>
      </c>
      <c r="Y454" s="301">
        <v>1.7447</v>
      </c>
      <c r="Z454" s="301">
        <v>1.1862</v>
      </c>
      <c r="AA454" s="301">
        <v>5.8846</v>
      </c>
      <c r="AB454" s="301">
        <v>0.0762</v>
      </c>
      <c r="AC454" s="301">
        <v>0.2455</v>
      </c>
      <c r="AD454" s="301">
        <v>0.3659</v>
      </c>
      <c r="AE454" s="301">
        <v>1.5462</v>
      </c>
      <c r="AF454" s="301">
        <v>1.0324</v>
      </c>
      <c r="AG454" s="301">
        <v>0.1019</v>
      </c>
      <c r="AH454" s="301">
        <v>3.2897</v>
      </c>
      <c r="AI454" s="301">
        <v>0.2842</v>
      </c>
      <c r="AJ454" s="301">
        <v>0.5038</v>
      </c>
      <c r="AK454" s="301">
        <v>4.8785</v>
      </c>
      <c r="AL454">
        <v>199</v>
      </c>
      <c r="AM454" t="s">
        <v>413</v>
      </c>
    </row>
    <row r="455" spans="1:39" ht="15">
      <c r="A455" s="470">
        <v>41197</v>
      </c>
      <c r="B455" s="301">
        <v>0.1029</v>
      </c>
      <c r="C455" s="301">
        <v>3.1565</v>
      </c>
      <c r="D455" s="301">
        <v>3.2318</v>
      </c>
      <c r="E455" s="301">
        <v>0.4073</v>
      </c>
      <c r="F455" s="301">
        <v>3.2264</v>
      </c>
      <c r="G455" s="301">
        <v>2.5725</v>
      </c>
      <c r="H455" s="301">
        <v>2.5842</v>
      </c>
      <c r="I455" s="301">
        <v>4.092</v>
      </c>
      <c r="J455" s="301">
        <v>1.4669</v>
      </c>
      <c r="K455" s="301">
        <v>3.3835</v>
      </c>
      <c r="L455" s="301">
        <v>5.0709</v>
      </c>
      <c r="M455" s="301">
        <v>0.3891</v>
      </c>
      <c r="N455" s="301">
        <v>4.0179</v>
      </c>
      <c r="O455" s="301">
        <v>0.1642</v>
      </c>
      <c r="P455" s="301">
        <v>0.5486</v>
      </c>
      <c r="R455" s="301">
        <v>2.5671</v>
      </c>
      <c r="S455" s="301">
        <v>0.5519</v>
      </c>
      <c r="U455" s="301">
        <v>0.4717</v>
      </c>
      <c r="V455" s="301">
        <v>0.5452</v>
      </c>
      <c r="W455" s="301">
        <v>0.8956</v>
      </c>
      <c r="X455" s="301">
        <v>2.0922</v>
      </c>
      <c r="Y455" s="301">
        <v>1.7431</v>
      </c>
      <c r="Z455" s="301">
        <v>1.1851</v>
      </c>
      <c r="AA455" s="301">
        <v>5.8776</v>
      </c>
      <c r="AB455" s="301">
        <v>0.0762</v>
      </c>
      <c r="AC455" s="301">
        <v>0.246</v>
      </c>
      <c r="AD455" s="301">
        <v>0.361</v>
      </c>
      <c r="AE455" s="301">
        <v>1.5445</v>
      </c>
      <c r="AF455" s="301">
        <v>1.0323</v>
      </c>
      <c r="AG455" s="301">
        <v>0.1019</v>
      </c>
      <c r="AH455" s="301">
        <v>3.2788</v>
      </c>
      <c r="AI455" s="301">
        <v>0.2842</v>
      </c>
      <c r="AJ455" s="301">
        <v>0.5034</v>
      </c>
      <c r="AK455" s="301">
        <v>4.8622</v>
      </c>
      <c r="AL455">
        <v>200</v>
      </c>
      <c r="AM455" t="s">
        <v>413</v>
      </c>
    </row>
    <row r="456" spans="1:39" ht="15">
      <c r="A456" s="470">
        <v>41198</v>
      </c>
      <c r="B456" s="301">
        <v>0.1026</v>
      </c>
      <c r="C456" s="301">
        <v>3.1438</v>
      </c>
      <c r="D456" s="301">
        <v>3.2299</v>
      </c>
      <c r="E456" s="301">
        <v>0.4056</v>
      </c>
      <c r="F456" s="301">
        <v>3.2025</v>
      </c>
      <c r="G456" s="301">
        <v>2.5641</v>
      </c>
      <c r="H456" s="301">
        <v>2.5741</v>
      </c>
      <c r="I456" s="301">
        <v>4.0889</v>
      </c>
      <c r="J456" s="301">
        <v>1.4686</v>
      </c>
      <c r="K456" s="301">
        <v>3.3822</v>
      </c>
      <c r="L456" s="301">
        <v>5.0599</v>
      </c>
      <c r="M456" s="301">
        <v>0.3859</v>
      </c>
      <c r="N456" s="301">
        <v>3.9855</v>
      </c>
      <c r="O456" s="301">
        <v>0.1641</v>
      </c>
      <c r="P456" s="301">
        <v>0.5482</v>
      </c>
      <c r="R456" s="301">
        <v>2.562</v>
      </c>
      <c r="S456" s="301">
        <v>0.553</v>
      </c>
      <c r="U456" s="301">
        <v>0.4735</v>
      </c>
      <c r="V456" s="301">
        <v>0.5439</v>
      </c>
      <c r="W456" s="301">
        <v>0.8933</v>
      </c>
      <c r="X456" s="301">
        <v>2.0907</v>
      </c>
      <c r="Y456" s="301">
        <v>1.7385</v>
      </c>
      <c r="Z456" s="301">
        <v>1.1842</v>
      </c>
      <c r="AA456" s="301">
        <v>5.874</v>
      </c>
      <c r="AB456" s="301">
        <v>0.0761</v>
      </c>
      <c r="AC456" s="301">
        <v>0.2456</v>
      </c>
      <c r="AD456" s="301">
        <v>0.3596</v>
      </c>
      <c r="AE456" s="301">
        <v>1.5438</v>
      </c>
      <c r="AF456" s="301">
        <v>1.0302</v>
      </c>
      <c r="AG456" s="301">
        <v>0.1016</v>
      </c>
      <c r="AH456" s="301">
        <v>3.2816</v>
      </c>
      <c r="AI456" s="301">
        <v>0.284</v>
      </c>
      <c r="AJ456" s="301">
        <v>0.5019</v>
      </c>
      <c r="AK456" s="301">
        <v>4.8553</v>
      </c>
      <c r="AL456">
        <v>201</v>
      </c>
      <c r="AM456" t="s">
        <v>413</v>
      </c>
    </row>
    <row r="457" spans="1:39" ht="15">
      <c r="A457" s="470">
        <v>41199</v>
      </c>
      <c r="B457" s="301">
        <v>0.1022</v>
      </c>
      <c r="C457" s="301">
        <v>3.1261</v>
      </c>
      <c r="D457" s="301">
        <v>3.223</v>
      </c>
      <c r="E457" s="301">
        <v>0.4032</v>
      </c>
      <c r="F457" s="301">
        <v>3.1682</v>
      </c>
      <c r="G457" s="301">
        <v>2.5529</v>
      </c>
      <c r="H457" s="301">
        <v>2.5661</v>
      </c>
      <c r="I457" s="301">
        <v>4.094</v>
      </c>
      <c r="J457" s="301">
        <v>1.4656</v>
      </c>
      <c r="K457" s="301">
        <v>3.3839</v>
      </c>
      <c r="L457" s="301">
        <v>5.0481</v>
      </c>
      <c r="M457" s="301">
        <v>0.3827</v>
      </c>
      <c r="N457" s="301">
        <v>3.9707</v>
      </c>
      <c r="O457" s="301">
        <v>0.1653</v>
      </c>
      <c r="P457" s="301">
        <v>0.5489</v>
      </c>
      <c r="R457" s="301">
        <v>2.5532</v>
      </c>
      <c r="S457" s="301">
        <v>0.5534</v>
      </c>
      <c r="U457" s="301">
        <v>0.4738</v>
      </c>
      <c r="V457" s="301">
        <v>0.5439</v>
      </c>
      <c r="W457" s="301">
        <v>0.8954</v>
      </c>
      <c r="X457" s="301">
        <v>2.0933</v>
      </c>
      <c r="Y457" s="301">
        <v>1.7334</v>
      </c>
      <c r="Z457" s="301">
        <v>1.1857</v>
      </c>
      <c r="AA457" s="301">
        <v>5.8796</v>
      </c>
      <c r="AB457" s="301">
        <v>0.0759</v>
      </c>
      <c r="AC457" s="301">
        <v>0.2433</v>
      </c>
      <c r="AD457" s="301">
        <v>0.3591</v>
      </c>
      <c r="AE457" s="301">
        <v>1.5367</v>
      </c>
      <c r="AF457" s="301">
        <v>1.0296</v>
      </c>
      <c r="AG457" s="301">
        <v>0.1015</v>
      </c>
      <c r="AH457" s="301">
        <v>3.2726</v>
      </c>
      <c r="AI457" s="301">
        <v>0.2828</v>
      </c>
      <c r="AJ457" s="301">
        <v>0.4998</v>
      </c>
      <c r="AK457" s="301">
        <v>4.8408</v>
      </c>
      <c r="AL457">
        <v>202</v>
      </c>
      <c r="AM457" t="s">
        <v>413</v>
      </c>
    </row>
    <row r="458" spans="1:39" ht="15">
      <c r="A458" s="470">
        <v>41200</v>
      </c>
      <c r="B458" s="301">
        <v>0.1023</v>
      </c>
      <c r="C458" s="301">
        <v>3.1314</v>
      </c>
      <c r="D458" s="301">
        <v>3.2551</v>
      </c>
      <c r="E458" s="301">
        <v>0.4041</v>
      </c>
      <c r="F458" s="301">
        <v>3.2013</v>
      </c>
      <c r="G458" s="301">
        <v>2.5719</v>
      </c>
      <c r="H458" s="301">
        <v>2.5715</v>
      </c>
      <c r="I458" s="301">
        <v>4.1034</v>
      </c>
      <c r="J458" s="301">
        <v>1.4817</v>
      </c>
      <c r="K458" s="301">
        <v>3.3928</v>
      </c>
      <c r="L458" s="301">
        <v>5.0572</v>
      </c>
      <c r="M458" s="301">
        <v>0.3839</v>
      </c>
      <c r="N458" s="301">
        <v>3.9568</v>
      </c>
      <c r="O458" s="301">
        <v>0.1659</v>
      </c>
      <c r="P458" s="301">
        <v>0.5501</v>
      </c>
      <c r="R458" s="301">
        <v>2.5582</v>
      </c>
      <c r="S458" s="301">
        <v>0.5569</v>
      </c>
      <c r="U458" s="301">
        <v>0.4785</v>
      </c>
      <c r="V458" s="301">
        <v>0.5438</v>
      </c>
      <c r="W458" s="301">
        <v>0.8964</v>
      </c>
      <c r="X458" s="301">
        <v>2.0981</v>
      </c>
      <c r="Y458" s="301">
        <v>1.7394</v>
      </c>
      <c r="Z458" s="301">
        <v>1.1884</v>
      </c>
      <c r="AA458" s="301">
        <v>5.8948</v>
      </c>
      <c r="AB458" s="301">
        <v>0.0758</v>
      </c>
      <c r="AC458" s="301">
        <v>0.245</v>
      </c>
      <c r="AD458" s="301">
        <v>0.3629</v>
      </c>
      <c r="AE458" s="301">
        <v>1.5409</v>
      </c>
      <c r="AF458" s="301">
        <v>1.0312</v>
      </c>
      <c r="AG458" s="301">
        <v>0.1019</v>
      </c>
      <c r="AH458" s="301">
        <v>3.2801</v>
      </c>
      <c r="AI458" s="301">
        <v>0.2837</v>
      </c>
      <c r="AJ458" s="301">
        <v>0.5011</v>
      </c>
      <c r="AK458" s="301">
        <v>4.8413</v>
      </c>
      <c r="AL458">
        <v>203</v>
      </c>
      <c r="AM458" t="s">
        <v>413</v>
      </c>
    </row>
    <row r="459" spans="1:39" ht="15">
      <c r="A459" s="470">
        <v>41201</v>
      </c>
      <c r="B459" s="301">
        <v>0.1027</v>
      </c>
      <c r="C459" s="301">
        <v>3.1499</v>
      </c>
      <c r="D459" s="301">
        <v>3.2606</v>
      </c>
      <c r="E459" s="301">
        <v>0.4063</v>
      </c>
      <c r="F459" s="301">
        <v>3.1905</v>
      </c>
      <c r="G459" s="301">
        <v>2.5792</v>
      </c>
      <c r="H459" s="301">
        <v>2.5806</v>
      </c>
      <c r="I459" s="301">
        <v>4.1103</v>
      </c>
      <c r="J459" s="301">
        <v>1.4739</v>
      </c>
      <c r="K459" s="301">
        <v>3.3996</v>
      </c>
      <c r="L459" s="301">
        <v>5.0532</v>
      </c>
      <c r="M459" s="301">
        <v>0.3858</v>
      </c>
      <c r="N459" s="301">
        <v>3.97</v>
      </c>
      <c r="O459" s="301">
        <v>0.1655</v>
      </c>
      <c r="P459" s="301">
        <v>0.5511</v>
      </c>
      <c r="R459" s="301">
        <v>2.5459</v>
      </c>
      <c r="S459" s="301">
        <v>0.5583</v>
      </c>
      <c r="U459" s="301">
        <v>0.4802</v>
      </c>
      <c r="V459" s="301">
        <v>0.545</v>
      </c>
      <c r="W459" s="301">
        <v>0.8964</v>
      </c>
      <c r="X459" s="301">
        <v>2.1016</v>
      </c>
      <c r="Y459" s="301">
        <v>1.7512</v>
      </c>
      <c r="Z459" s="301">
        <v>1.1904</v>
      </c>
      <c r="AA459" s="301">
        <v>5.9031</v>
      </c>
      <c r="AB459" s="301">
        <v>0.0761</v>
      </c>
      <c r="AC459" s="301">
        <v>0.2449</v>
      </c>
      <c r="AD459" s="301">
        <v>0.3637</v>
      </c>
      <c r="AE459" s="301">
        <v>1.5538</v>
      </c>
      <c r="AF459" s="301">
        <v>1.0323</v>
      </c>
      <c r="AG459" s="301">
        <v>0.1022</v>
      </c>
      <c r="AH459" s="301">
        <v>3.2596</v>
      </c>
      <c r="AI459" s="301">
        <v>0.2855</v>
      </c>
      <c r="AJ459" s="301">
        <v>0.5036</v>
      </c>
      <c r="AK459" s="301">
        <v>4.8456</v>
      </c>
      <c r="AL459">
        <v>204</v>
      </c>
      <c r="AM459" t="s">
        <v>413</v>
      </c>
    </row>
    <row r="460" spans="1:39" ht="15">
      <c r="A460" s="470">
        <v>41204</v>
      </c>
      <c r="B460" s="301">
        <v>0.1026</v>
      </c>
      <c r="C460" s="301">
        <v>3.147</v>
      </c>
      <c r="D460" s="301">
        <v>3.2478</v>
      </c>
      <c r="E460" s="301">
        <v>0.4067</v>
      </c>
      <c r="F460" s="301">
        <v>3.1669</v>
      </c>
      <c r="G460" s="301">
        <v>2.5743</v>
      </c>
      <c r="H460" s="301">
        <v>2.5745</v>
      </c>
      <c r="I460" s="301">
        <v>4.1056</v>
      </c>
      <c r="J460" s="301">
        <v>1.4709</v>
      </c>
      <c r="K460" s="301">
        <v>3.3921</v>
      </c>
      <c r="L460" s="301">
        <v>5.0493</v>
      </c>
      <c r="M460" s="301">
        <v>0.3855</v>
      </c>
      <c r="N460" s="301">
        <v>3.9447</v>
      </c>
      <c r="O460" s="301">
        <v>0.1652</v>
      </c>
      <c r="P460" s="301">
        <v>0.5505</v>
      </c>
      <c r="R460" s="301">
        <v>2.5304</v>
      </c>
      <c r="S460" s="301">
        <v>0.556</v>
      </c>
      <c r="U460" s="301">
        <v>0.4783</v>
      </c>
      <c r="V460" s="301">
        <v>0.5435</v>
      </c>
      <c r="W460" s="301">
        <v>0.8969</v>
      </c>
      <c r="X460" s="301">
        <v>2.0992</v>
      </c>
      <c r="Y460" s="301">
        <v>1.7528</v>
      </c>
      <c r="Z460" s="301">
        <v>1.1891</v>
      </c>
      <c r="AA460" s="301">
        <v>5.8989</v>
      </c>
      <c r="AB460" s="301">
        <v>0.076</v>
      </c>
      <c r="AC460" s="301">
        <v>0.2445</v>
      </c>
      <c r="AD460" s="301">
        <v>0.3653</v>
      </c>
      <c r="AE460" s="301">
        <v>1.5524</v>
      </c>
      <c r="AF460" s="301">
        <v>1.0311</v>
      </c>
      <c r="AG460" s="301">
        <v>0.1018</v>
      </c>
      <c r="AH460" s="301">
        <v>3.2766</v>
      </c>
      <c r="AI460" s="301">
        <v>0.285</v>
      </c>
      <c r="AJ460" s="301">
        <v>0.5031</v>
      </c>
      <c r="AK460" s="301">
        <v>4.86</v>
      </c>
      <c r="AL460">
        <v>205</v>
      </c>
      <c r="AM460" t="s">
        <v>413</v>
      </c>
    </row>
    <row r="461" spans="1:39" ht="15">
      <c r="A461" s="470">
        <v>41205</v>
      </c>
      <c r="B461" s="301">
        <v>0.1031</v>
      </c>
      <c r="C461" s="301">
        <v>3.1662</v>
      </c>
      <c r="D461" s="301">
        <v>3.2624</v>
      </c>
      <c r="E461" s="301">
        <v>0.4086</v>
      </c>
      <c r="F461" s="301">
        <v>3.1832</v>
      </c>
      <c r="G461" s="301">
        <v>2.5853</v>
      </c>
      <c r="H461" s="301">
        <v>2.5914</v>
      </c>
      <c r="I461" s="301">
        <v>4.1266</v>
      </c>
      <c r="J461" s="301">
        <v>1.472</v>
      </c>
      <c r="K461" s="301">
        <v>3.4114</v>
      </c>
      <c r="L461" s="301">
        <v>5.0714</v>
      </c>
      <c r="M461" s="301">
        <v>0.3872</v>
      </c>
      <c r="N461" s="301">
        <v>3.97</v>
      </c>
      <c r="O461" s="301">
        <v>0.1656</v>
      </c>
      <c r="P461" s="301">
        <v>0.5533</v>
      </c>
      <c r="R461" s="301">
        <v>2.5394</v>
      </c>
      <c r="S461" s="301">
        <v>0.5565</v>
      </c>
      <c r="U461" s="301">
        <v>0.4796</v>
      </c>
      <c r="V461" s="301">
        <v>0.5456</v>
      </c>
      <c r="W461" s="301">
        <v>0.9013</v>
      </c>
      <c r="X461" s="301">
        <v>2.1099</v>
      </c>
      <c r="Y461" s="301">
        <v>1.7594</v>
      </c>
      <c r="Z461" s="301">
        <v>1.1951</v>
      </c>
      <c r="AA461" s="301">
        <v>5.9273</v>
      </c>
      <c r="AB461" s="301">
        <v>0.0766</v>
      </c>
      <c r="AC461" s="301">
        <v>0.2455</v>
      </c>
      <c r="AD461" s="301">
        <v>0.3636</v>
      </c>
      <c r="AE461" s="301">
        <v>1.5644</v>
      </c>
      <c r="AF461" s="301">
        <v>1.0372</v>
      </c>
      <c r="AG461" s="301">
        <v>0.1017</v>
      </c>
      <c r="AH461" s="301">
        <v>3.2881</v>
      </c>
      <c r="AI461" s="301">
        <v>0.2871</v>
      </c>
      <c r="AJ461" s="301">
        <v>0.5068</v>
      </c>
      <c r="AK461" s="301">
        <v>4.8729</v>
      </c>
      <c r="AL461">
        <v>206</v>
      </c>
      <c r="AM461" t="s">
        <v>413</v>
      </c>
    </row>
    <row r="462" spans="1:39" ht="15">
      <c r="A462" s="470">
        <v>41206</v>
      </c>
      <c r="B462" s="301">
        <v>0.104</v>
      </c>
      <c r="C462" s="301">
        <v>3.1996</v>
      </c>
      <c r="D462" s="301">
        <v>3.2992</v>
      </c>
      <c r="E462" s="301">
        <v>0.4128</v>
      </c>
      <c r="F462" s="301">
        <v>3.2287</v>
      </c>
      <c r="G462" s="301">
        <v>2.6017</v>
      </c>
      <c r="H462" s="301">
        <v>2.6135</v>
      </c>
      <c r="I462" s="301">
        <v>4.1374</v>
      </c>
      <c r="J462" s="301">
        <v>1.472</v>
      </c>
      <c r="K462" s="301">
        <v>3.4206</v>
      </c>
      <c r="L462" s="301">
        <v>5.1098</v>
      </c>
      <c r="M462" s="301">
        <v>0.3895</v>
      </c>
      <c r="N462" s="301">
        <v>4.0105</v>
      </c>
      <c r="O462" s="301">
        <v>0.1658</v>
      </c>
      <c r="P462" s="301">
        <v>0.5547</v>
      </c>
      <c r="R462" s="301">
        <v>2.5328</v>
      </c>
      <c r="S462" s="301">
        <v>0.556</v>
      </c>
      <c r="U462" s="301">
        <v>0.4779</v>
      </c>
      <c r="V462" s="301">
        <v>0.547</v>
      </c>
      <c r="W462" s="301">
        <v>0.9042</v>
      </c>
      <c r="X462" s="301">
        <v>2.1155</v>
      </c>
      <c r="Y462" s="301">
        <v>1.7744</v>
      </c>
      <c r="Z462" s="301">
        <v>1.1983</v>
      </c>
      <c r="AA462" s="301">
        <v>5.9441</v>
      </c>
      <c r="AB462" s="301">
        <v>0.0774</v>
      </c>
      <c r="AC462" s="301">
        <v>0.2465</v>
      </c>
      <c r="AD462" s="301">
        <v>0.3643</v>
      </c>
      <c r="AE462" s="301">
        <v>1.5783</v>
      </c>
      <c r="AF462" s="301">
        <v>1.0453</v>
      </c>
      <c r="AG462" s="301">
        <v>0.1018</v>
      </c>
      <c r="AH462" s="301">
        <v>3.3126</v>
      </c>
      <c r="AI462" s="301">
        <v>0.2898</v>
      </c>
      <c r="AJ462" s="301">
        <v>0.512</v>
      </c>
      <c r="AK462" s="301">
        <v>4.8963</v>
      </c>
      <c r="AL462">
        <v>207</v>
      </c>
      <c r="AM462" t="s">
        <v>413</v>
      </c>
    </row>
    <row r="463" spans="1:39" ht="15">
      <c r="A463" s="470">
        <v>41207</v>
      </c>
      <c r="B463" s="301">
        <v>0.104</v>
      </c>
      <c r="C463" s="301">
        <v>3.1851</v>
      </c>
      <c r="D463" s="301">
        <v>3.3098</v>
      </c>
      <c r="E463" s="301">
        <v>0.411</v>
      </c>
      <c r="F463" s="301">
        <v>3.2131</v>
      </c>
      <c r="G463" s="301">
        <v>2.6237</v>
      </c>
      <c r="H463" s="301">
        <v>2.6109</v>
      </c>
      <c r="I463" s="301">
        <v>4.143</v>
      </c>
      <c r="J463" s="301">
        <v>1.4822</v>
      </c>
      <c r="K463" s="301">
        <v>3.424</v>
      </c>
      <c r="L463" s="301">
        <v>5.1341</v>
      </c>
      <c r="M463" s="301">
        <v>0.3894</v>
      </c>
      <c r="N463" s="301">
        <v>3.972</v>
      </c>
      <c r="O463" s="301">
        <v>0.1661</v>
      </c>
      <c r="P463" s="301">
        <v>0.5554</v>
      </c>
      <c r="R463" s="301">
        <v>2.5193</v>
      </c>
      <c r="S463" s="301">
        <v>0.5557</v>
      </c>
      <c r="U463" s="301">
        <v>0.4777</v>
      </c>
      <c r="V463" s="301">
        <v>0.5489</v>
      </c>
      <c r="W463" s="301">
        <v>0.908</v>
      </c>
      <c r="X463" s="301">
        <v>2.1183</v>
      </c>
      <c r="Y463" s="301">
        <v>1.7728</v>
      </c>
      <c r="Z463" s="301">
        <v>1.1999</v>
      </c>
      <c r="AA463" s="301">
        <v>5.9517</v>
      </c>
      <c r="AB463" s="301">
        <v>0.0773</v>
      </c>
      <c r="AC463" s="301">
        <v>0.2464</v>
      </c>
      <c r="AD463" s="301">
        <v>0.3669</v>
      </c>
      <c r="AE463" s="301">
        <v>1.5729</v>
      </c>
      <c r="AF463" s="301">
        <v>1.0484</v>
      </c>
      <c r="AG463" s="301">
        <v>0.102</v>
      </c>
      <c r="AH463" s="301">
        <v>3.3217</v>
      </c>
      <c r="AI463" s="301">
        <v>0.2901</v>
      </c>
      <c r="AJ463" s="301">
        <v>0.5104</v>
      </c>
      <c r="AK463" s="301">
        <v>4.9188</v>
      </c>
      <c r="AL463">
        <v>208</v>
      </c>
      <c r="AM463" t="s">
        <v>413</v>
      </c>
    </row>
    <row r="464" spans="1:39" ht="15">
      <c r="A464" s="470">
        <v>41208</v>
      </c>
      <c r="B464" s="301">
        <v>0.1046</v>
      </c>
      <c r="C464" s="301">
        <v>3.2119</v>
      </c>
      <c r="D464" s="301">
        <v>3.314</v>
      </c>
      <c r="E464" s="301">
        <v>0.4144</v>
      </c>
      <c r="F464" s="301">
        <v>3.2236</v>
      </c>
      <c r="G464" s="301">
        <v>2.6307</v>
      </c>
      <c r="H464" s="301">
        <v>2.6271</v>
      </c>
      <c r="I464" s="301">
        <v>4.1543</v>
      </c>
      <c r="J464" s="301">
        <v>1.4734</v>
      </c>
      <c r="K464" s="301">
        <v>3.4336</v>
      </c>
      <c r="L464" s="301">
        <v>5.1751</v>
      </c>
      <c r="M464" s="301">
        <v>0.3925</v>
      </c>
      <c r="N464" s="301">
        <v>4.0158</v>
      </c>
      <c r="O464" s="301">
        <v>0.1666</v>
      </c>
      <c r="P464" s="301">
        <v>0.5569</v>
      </c>
      <c r="R464" s="301">
        <v>2.5223</v>
      </c>
      <c r="S464" s="301">
        <v>0.5559</v>
      </c>
      <c r="U464" s="301">
        <v>0.4779</v>
      </c>
      <c r="V464" s="301">
        <v>0.5516</v>
      </c>
      <c r="W464" s="301">
        <v>0.911</v>
      </c>
      <c r="X464" s="301">
        <v>2.1241</v>
      </c>
      <c r="Y464" s="301">
        <v>1.7872</v>
      </c>
      <c r="Z464" s="301">
        <v>1.2032</v>
      </c>
      <c r="AA464" s="301">
        <v>5.9671</v>
      </c>
      <c r="AB464" s="301">
        <v>0.0777</v>
      </c>
      <c r="AC464" s="301">
        <v>0.2461</v>
      </c>
      <c r="AD464" s="301">
        <v>0.3665</v>
      </c>
      <c r="AE464" s="301">
        <v>1.5855</v>
      </c>
      <c r="AF464" s="301">
        <v>1.0563</v>
      </c>
      <c r="AG464" s="301">
        <v>0.1021</v>
      </c>
      <c r="AH464" s="301">
        <v>3.3308</v>
      </c>
      <c r="AI464" s="301">
        <v>0.2927</v>
      </c>
      <c r="AJ464" s="301">
        <v>0.5139</v>
      </c>
      <c r="AK464" s="301">
        <v>4.9235</v>
      </c>
      <c r="AL464">
        <v>209</v>
      </c>
      <c r="AM464" t="s">
        <v>413</v>
      </c>
    </row>
    <row r="465" spans="1:39" ht="15">
      <c r="A465" s="470">
        <v>41211</v>
      </c>
      <c r="B465" s="301">
        <v>0.1047</v>
      </c>
      <c r="C465" s="301">
        <v>3.2145</v>
      </c>
      <c r="D465" s="301">
        <v>3.3277</v>
      </c>
      <c r="E465" s="301">
        <v>0.4146</v>
      </c>
      <c r="F465" s="301">
        <v>3.216</v>
      </c>
      <c r="G465" s="301">
        <v>2.6399</v>
      </c>
      <c r="H465" s="301">
        <v>2.6311</v>
      </c>
      <c r="I465" s="301">
        <v>4.1472</v>
      </c>
      <c r="J465" s="301">
        <v>1.4652</v>
      </c>
      <c r="K465" s="301">
        <v>3.431</v>
      </c>
      <c r="L465" s="301">
        <v>5.1605</v>
      </c>
      <c r="M465" s="301">
        <v>0.3937</v>
      </c>
      <c r="N465" s="301">
        <v>4.0362</v>
      </c>
      <c r="O465" s="301">
        <v>0.1661</v>
      </c>
      <c r="P465" s="301">
        <v>0.556</v>
      </c>
      <c r="R465" s="301">
        <v>2.5211</v>
      </c>
      <c r="S465" s="301">
        <v>0.5563</v>
      </c>
      <c r="U465" s="301">
        <v>0.4809</v>
      </c>
      <c r="V465" s="301">
        <v>0.5504</v>
      </c>
      <c r="W465" s="301">
        <v>0.9115</v>
      </c>
      <c r="X465" s="301">
        <v>2.1205</v>
      </c>
      <c r="Y465" s="301">
        <v>1.7883</v>
      </c>
      <c r="Z465" s="301">
        <v>1.2011</v>
      </c>
      <c r="AA465" s="301">
        <v>5.9578</v>
      </c>
      <c r="AB465" s="301">
        <v>0.0779</v>
      </c>
      <c r="AC465" s="301">
        <v>0.2465</v>
      </c>
      <c r="AD465" s="301">
        <v>0.3689</v>
      </c>
      <c r="AE465" s="301">
        <v>1.5852</v>
      </c>
      <c r="AF465" s="301">
        <v>1.0511</v>
      </c>
      <c r="AG465" s="301">
        <v>0.1021</v>
      </c>
      <c r="AH465" s="301">
        <v>3.3364</v>
      </c>
      <c r="AI465" s="301">
        <v>0.293</v>
      </c>
      <c r="AJ465" s="301">
        <v>0.5146</v>
      </c>
      <c r="AK465" s="301">
        <v>4.9344</v>
      </c>
      <c r="AL465">
        <v>210</v>
      </c>
      <c r="AM465" t="s">
        <v>413</v>
      </c>
    </row>
    <row r="466" spans="1:39" ht="15">
      <c r="A466" s="470">
        <v>41212</v>
      </c>
      <c r="B466" s="301">
        <v>0.1044</v>
      </c>
      <c r="C466" s="301">
        <v>3.2036</v>
      </c>
      <c r="D466" s="301">
        <v>3.3238</v>
      </c>
      <c r="E466" s="301">
        <v>0.4133</v>
      </c>
      <c r="F466" s="301">
        <v>3.2005</v>
      </c>
      <c r="G466" s="301">
        <v>2.634</v>
      </c>
      <c r="H466" s="301">
        <v>2.6246</v>
      </c>
      <c r="I466" s="301">
        <v>4.145</v>
      </c>
      <c r="J466" s="301">
        <v>1.4564</v>
      </c>
      <c r="K466" s="301">
        <v>3.4279</v>
      </c>
      <c r="L466" s="301">
        <v>5.1433</v>
      </c>
      <c r="M466" s="301">
        <v>0.3918</v>
      </c>
      <c r="N466" s="301">
        <v>4.0337</v>
      </c>
      <c r="O466" s="301">
        <v>0.1657</v>
      </c>
      <c r="P466" s="301">
        <v>0.5557</v>
      </c>
      <c r="R466" s="301">
        <v>2.5144</v>
      </c>
      <c r="S466" s="301">
        <v>0.5562</v>
      </c>
      <c r="U466" s="301">
        <v>0.4806</v>
      </c>
      <c r="V466" s="301">
        <v>0.5501</v>
      </c>
      <c r="W466" s="301">
        <v>0.9139</v>
      </c>
      <c r="X466" s="301">
        <v>2.1193</v>
      </c>
      <c r="Y466" s="301">
        <v>1.7763</v>
      </c>
      <c r="Z466" s="301">
        <v>1.2005</v>
      </c>
      <c r="AA466" s="301">
        <v>5.9537</v>
      </c>
      <c r="AB466" s="301">
        <v>0.0778</v>
      </c>
      <c r="AC466" s="301">
        <v>0.245</v>
      </c>
      <c r="AD466" s="301">
        <v>0.3693</v>
      </c>
      <c r="AE466" s="301">
        <v>1.5755</v>
      </c>
      <c r="AF466" s="301">
        <v>1.0496</v>
      </c>
      <c r="AG466" s="301">
        <v>0.1018</v>
      </c>
      <c r="AH466" s="301">
        <v>3.3347</v>
      </c>
      <c r="AI466" s="301">
        <v>0.2935</v>
      </c>
      <c r="AJ466" s="301">
        <v>0.5133</v>
      </c>
      <c r="AK466" s="301">
        <v>4.935</v>
      </c>
      <c r="AL466">
        <v>211</v>
      </c>
      <c r="AM466" t="s">
        <v>413</v>
      </c>
    </row>
    <row r="467" spans="1:39" ht="15">
      <c r="A467" s="470">
        <v>41213</v>
      </c>
      <c r="B467" s="301">
        <v>0.1038</v>
      </c>
      <c r="C467" s="301">
        <v>3.1806</v>
      </c>
      <c r="D467" s="301">
        <v>3.3044</v>
      </c>
      <c r="E467" s="301">
        <v>0.4105</v>
      </c>
      <c r="F467" s="301">
        <v>3.1889</v>
      </c>
      <c r="G467" s="301">
        <v>2.6163</v>
      </c>
      <c r="H467" s="301">
        <v>2.6078</v>
      </c>
      <c r="I467" s="301">
        <v>4.135</v>
      </c>
      <c r="J467" s="301">
        <v>1.458</v>
      </c>
      <c r="K467" s="301">
        <v>3.4249</v>
      </c>
      <c r="L467" s="301">
        <v>5.1265</v>
      </c>
      <c r="M467" s="301">
        <v>0.3883</v>
      </c>
      <c r="N467" s="301">
        <v>3.9878</v>
      </c>
      <c r="O467" s="301">
        <v>0.1651</v>
      </c>
      <c r="P467" s="301">
        <v>0.5543</v>
      </c>
      <c r="R467" s="301">
        <v>2.503</v>
      </c>
      <c r="S467" s="301">
        <v>0.5594</v>
      </c>
      <c r="U467" s="301">
        <v>0.4815</v>
      </c>
      <c r="V467" s="301">
        <v>0.5495</v>
      </c>
      <c r="W467" s="301">
        <v>0.9106</v>
      </c>
      <c r="X467" s="301">
        <v>2.1142</v>
      </c>
      <c r="Y467" s="301">
        <v>1.7716</v>
      </c>
      <c r="Z467" s="301">
        <v>1.1976</v>
      </c>
      <c r="AA467" s="301">
        <v>5.9402</v>
      </c>
      <c r="AB467" s="301">
        <v>0.0773</v>
      </c>
      <c r="AC467" s="301">
        <v>0.244</v>
      </c>
      <c r="AD467" s="301">
        <v>0.3681</v>
      </c>
      <c r="AE467" s="301">
        <v>1.5664</v>
      </c>
      <c r="AF467" s="301">
        <v>1.0443</v>
      </c>
      <c r="AG467" s="301">
        <v>0.1017</v>
      </c>
      <c r="AH467" s="301">
        <v>3.3266</v>
      </c>
      <c r="AI467" s="301">
        <v>0.2919</v>
      </c>
      <c r="AJ467" s="301">
        <v>0.51</v>
      </c>
      <c r="AK467" s="301">
        <v>4.9071</v>
      </c>
      <c r="AL467">
        <v>212</v>
      </c>
      <c r="AM467" t="s">
        <v>413</v>
      </c>
    </row>
    <row r="468" spans="1:39" ht="15">
      <c r="A468" s="470">
        <v>41215</v>
      </c>
      <c r="B468" s="301">
        <v>0.1041</v>
      </c>
      <c r="C468" s="301">
        <v>3.1965</v>
      </c>
      <c r="D468" s="301">
        <v>3.3162</v>
      </c>
      <c r="E468" s="301">
        <v>0.4125</v>
      </c>
      <c r="F468" s="301">
        <v>3.2061</v>
      </c>
      <c r="G468" s="301">
        <v>2.6427</v>
      </c>
      <c r="H468" s="301">
        <v>2.6139</v>
      </c>
      <c r="I468" s="301">
        <v>4.1169</v>
      </c>
      <c r="J468" s="301">
        <v>1.4621</v>
      </c>
      <c r="K468" s="301">
        <v>3.4109</v>
      </c>
      <c r="L468" s="301">
        <v>5.1455</v>
      </c>
      <c r="M468" s="301">
        <v>0.3903</v>
      </c>
      <c r="N468" s="301">
        <v>3.9821</v>
      </c>
      <c r="O468" s="301">
        <v>0.163</v>
      </c>
      <c r="P468" s="301">
        <v>0.5519</v>
      </c>
      <c r="R468" s="301">
        <v>2.5257</v>
      </c>
      <c r="S468" s="301">
        <v>0.5602</v>
      </c>
      <c r="U468" s="301">
        <v>0.4785</v>
      </c>
      <c r="V468" s="301">
        <v>0.5475</v>
      </c>
      <c r="W468" s="301">
        <v>0.908</v>
      </c>
      <c r="X468" s="301">
        <v>2.105</v>
      </c>
      <c r="Y468" s="301">
        <v>1.7848</v>
      </c>
      <c r="Z468" s="301">
        <v>1.1923</v>
      </c>
      <c r="AA468" s="301">
        <v>5.9142</v>
      </c>
      <c r="AB468" s="301">
        <v>0.0776</v>
      </c>
      <c r="AC468" s="301">
        <v>0.2455</v>
      </c>
      <c r="AD468" s="301">
        <v>0.3687</v>
      </c>
      <c r="AE468" s="301">
        <v>1.574</v>
      </c>
      <c r="AF468" s="301">
        <v>1.0473</v>
      </c>
      <c r="AG468" s="301">
        <v>0.102</v>
      </c>
      <c r="AH468" s="301">
        <v>3.3081</v>
      </c>
      <c r="AI468" s="301">
        <v>0.2927</v>
      </c>
      <c r="AJ468" s="301">
        <v>0.5122</v>
      </c>
      <c r="AK468" s="301">
        <v>4.8828</v>
      </c>
      <c r="AL468">
        <v>213</v>
      </c>
      <c r="AM468" t="s">
        <v>413</v>
      </c>
    </row>
    <row r="469" spans="1:39" ht="15">
      <c r="A469" s="470">
        <v>41218</v>
      </c>
      <c r="B469" s="301">
        <v>0.1047</v>
      </c>
      <c r="C469" s="301">
        <v>3.2211</v>
      </c>
      <c r="D469" s="301">
        <v>3.3321</v>
      </c>
      <c r="E469" s="301">
        <v>0.4156</v>
      </c>
      <c r="F469" s="301">
        <v>3.2319</v>
      </c>
      <c r="G469" s="301">
        <v>2.6554</v>
      </c>
      <c r="H469" s="301">
        <v>2.6277</v>
      </c>
      <c r="I469" s="301">
        <v>4.1213</v>
      </c>
      <c r="J469" s="301">
        <v>1.4605</v>
      </c>
      <c r="K469" s="301">
        <v>3.4158</v>
      </c>
      <c r="L469" s="301">
        <v>5.1462</v>
      </c>
      <c r="M469" s="301">
        <v>0.393</v>
      </c>
      <c r="N469" s="301">
        <v>4.0155</v>
      </c>
      <c r="O469" s="301">
        <v>0.1634</v>
      </c>
      <c r="P469" s="301">
        <v>0.5525</v>
      </c>
      <c r="R469" s="301">
        <v>2.5307</v>
      </c>
      <c r="S469" s="301">
        <v>0.5605</v>
      </c>
      <c r="U469" s="301">
        <v>0.4803</v>
      </c>
      <c r="V469" s="301">
        <v>0.5477</v>
      </c>
      <c r="W469" s="301">
        <v>0.9098</v>
      </c>
      <c r="X469" s="301">
        <v>2.1072</v>
      </c>
      <c r="Y469" s="301">
        <v>1.7959</v>
      </c>
      <c r="Z469" s="301">
        <v>1.1936</v>
      </c>
      <c r="AA469" s="301">
        <v>5.9206</v>
      </c>
      <c r="AB469" s="301">
        <v>0.078</v>
      </c>
      <c r="AC469" s="301">
        <v>0.2467</v>
      </c>
      <c r="AD469" s="301">
        <v>0.3668</v>
      </c>
      <c r="AE469" s="301">
        <v>1.5853</v>
      </c>
      <c r="AF469" s="301">
        <v>1.0513</v>
      </c>
      <c r="AG469" s="301">
        <v>0.1017</v>
      </c>
      <c r="AH469" s="301">
        <v>3.3116</v>
      </c>
      <c r="AI469" s="301">
        <v>0.2949</v>
      </c>
      <c r="AJ469" s="301">
        <v>0.5157</v>
      </c>
      <c r="AK469" s="301">
        <v>4.9211</v>
      </c>
      <c r="AL469">
        <v>214</v>
      </c>
      <c r="AM469" t="s">
        <v>413</v>
      </c>
    </row>
    <row r="470" spans="1:39" ht="15">
      <c r="A470" s="470">
        <v>41219</v>
      </c>
      <c r="B470" s="301">
        <v>0.1048</v>
      </c>
      <c r="C470" s="301">
        <v>3.2223</v>
      </c>
      <c r="D470" s="301">
        <v>3.3617</v>
      </c>
      <c r="E470" s="301">
        <v>0.4158</v>
      </c>
      <c r="F470" s="301">
        <v>3.2406</v>
      </c>
      <c r="G470" s="301">
        <v>2.6644</v>
      </c>
      <c r="H470" s="301">
        <v>2.634</v>
      </c>
      <c r="I470" s="301">
        <v>4.1211</v>
      </c>
      <c r="J470" s="301">
        <v>1.4583</v>
      </c>
      <c r="K470" s="301">
        <v>3.4135</v>
      </c>
      <c r="L470" s="301">
        <v>5.1478</v>
      </c>
      <c r="M470" s="301">
        <v>0.3937</v>
      </c>
      <c r="N470" s="301">
        <v>4.0155</v>
      </c>
      <c r="O470" s="301">
        <v>0.1631</v>
      </c>
      <c r="P470" s="301">
        <v>0.5524</v>
      </c>
      <c r="R470" s="301">
        <v>2.5306</v>
      </c>
      <c r="S470" s="301">
        <v>0.5619</v>
      </c>
      <c r="U470" s="301">
        <v>0.4808</v>
      </c>
      <c r="V470" s="301">
        <v>0.5476</v>
      </c>
      <c r="W470" s="301">
        <v>0.9118</v>
      </c>
      <c r="X470" s="301">
        <v>2.1071</v>
      </c>
      <c r="Y470" s="301">
        <v>1.8159</v>
      </c>
      <c r="Z470" s="301">
        <v>1.1936</v>
      </c>
      <c r="AA470" s="301">
        <v>5.9203</v>
      </c>
      <c r="AB470" s="301">
        <v>0.0782</v>
      </c>
      <c r="AC470" s="301">
        <v>0.2477</v>
      </c>
      <c r="AD470" s="301">
        <v>0.3697</v>
      </c>
      <c r="AE470" s="301">
        <v>1.5834</v>
      </c>
      <c r="AF470" s="301">
        <v>1.0526</v>
      </c>
      <c r="AG470" s="301">
        <v>0.1023</v>
      </c>
      <c r="AH470" s="301">
        <v>3.3478</v>
      </c>
      <c r="AI470" s="301">
        <v>0.2955</v>
      </c>
      <c r="AJ470" s="301">
        <v>0.516</v>
      </c>
      <c r="AK470" s="301">
        <v>4.9321</v>
      </c>
      <c r="AL470">
        <v>215</v>
      </c>
      <c r="AM470" t="s">
        <v>413</v>
      </c>
    </row>
    <row r="471" spans="1:39" ht="15">
      <c r="A471" s="470">
        <v>41220</v>
      </c>
      <c r="B471" s="301">
        <v>0.1044</v>
      </c>
      <c r="C471" s="301">
        <v>3.2031</v>
      </c>
      <c r="D471" s="301">
        <v>3.3495</v>
      </c>
      <c r="E471" s="301">
        <v>0.4133</v>
      </c>
      <c r="F471" s="301">
        <v>3.2406</v>
      </c>
      <c r="G471" s="301">
        <v>2.6553</v>
      </c>
      <c r="H471" s="301">
        <v>2.6225</v>
      </c>
      <c r="I471" s="301">
        <v>4.1122</v>
      </c>
      <c r="J471" s="301">
        <v>1.4614</v>
      </c>
      <c r="K471" s="301">
        <v>3.4058</v>
      </c>
      <c r="L471" s="301">
        <v>5.1274</v>
      </c>
      <c r="M471" s="301">
        <v>0.3908</v>
      </c>
      <c r="N471" s="301">
        <v>3.9853</v>
      </c>
      <c r="O471" s="301">
        <v>0.1624</v>
      </c>
      <c r="P471" s="301">
        <v>0.5512</v>
      </c>
      <c r="R471" s="301">
        <v>2.5182</v>
      </c>
      <c r="S471" s="301">
        <v>0.5611</v>
      </c>
      <c r="U471" s="301">
        <v>0.4804</v>
      </c>
      <c r="V471" s="301">
        <v>0.5459</v>
      </c>
      <c r="W471" s="301">
        <v>0.9118</v>
      </c>
      <c r="X471" s="301">
        <v>2.1026</v>
      </c>
      <c r="Y471" s="301">
        <v>1.8061</v>
      </c>
      <c r="Z471" s="301">
        <v>1.191</v>
      </c>
      <c r="AA471" s="301">
        <v>5.9049</v>
      </c>
      <c r="AB471" s="301">
        <v>0.0782</v>
      </c>
      <c r="AC471" s="301">
        <v>0.2477</v>
      </c>
      <c r="AD471" s="301">
        <v>0.3718</v>
      </c>
      <c r="AE471" s="301">
        <v>1.5761</v>
      </c>
      <c r="AF471" s="301">
        <v>1.0505</v>
      </c>
      <c r="AG471" s="301">
        <v>0.1023</v>
      </c>
      <c r="AH471" s="301">
        <v>3.3405</v>
      </c>
      <c r="AI471" s="301">
        <v>0.2951</v>
      </c>
      <c r="AJ471" s="301">
        <v>0.513</v>
      </c>
      <c r="AK471" s="301">
        <v>4.915</v>
      </c>
      <c r="AL471">
        <v>216</v>
      </c>
      <c r="AM471" t="s">
        <v>413</v>
      </c>
    </row>
    <row r="472" spans="1:39" ht="15">
      <c r="A472" s="470">
        <v>41221</v>
      </c>
      <c r="B472" s="301">
        <v>0.1063</v>
      </c>
      <c r="C472" s="301">
        <v>3.2655</v>
      </c>
      <c r="D472" s="301">
        <v>3.3969</v>
      </c>
      <c r="E472" s="301">
        <v>0.4214</v>
      </c>
      <c r="F472" s="301">
        <v>3.2735</v>
      </c>
      <c r="G472" s="301">
        <v>2.6665</v>
      </c>
      <c r="H472" s="301">
        <v>2.6664</v>
      </c>
      <c r="I472" s="301">
        <v>4.1593</v>
      </c>
      <c r="J472" s="301">
        <v>1.4635</v>
      </c>
      <c r="K472" s="301">
        <v>3.4496</v>
      </c>
      <c r="L472" s="301">
        <v>5.2076</v>
      </c>
      <c r="M472" s="301">
        <v>0.3974</v>
      </c>
      <c r="N472" s="301">
        <v>4.0852</v>
      </c>
      <c r="O472" s="301">
        <v>0.1635</v>
      </c>
      <c r="P472" s="301">
        <v>0.5576</v>
      </c>
      <c r="R472" s="301">
        <v>2.547</v>
      </c>
      <c r="S472" s="301">
        <v>0.5686</v>
      </c>
      <c r="U472" s="301">
        <v>0.4873</v>
      </c>
      <c r="V472" s="301">
        <v>0.5518</v>
      </c>
      <c r="W472" s="301">
        <v>0.9193</v>
      </c>
      <c r="X472" s="301">
        <v>2.1266</v>
      </c>
      <c r="Y472" s="301">
        <v>1.83</v>
      </c>
      <c r="Z472" s="301">
        <v>1.2046</v>
      </c>
      <c r="AA472" s="301">
        <v>5.9734</v>
      </c>
      <c r="AB472" s="301">
        <v>0.0796</v>
      </c>
      <c r="AC472" s="301">
        <v>0.2497</v>
      </c>
      <c r="AD472" s="301">
        <v>0.3749</v>
      </c>
      <c r="AE472" s="301">
        <v>1.6061</v>
      </c>
      <c r="AF472" s="301">
        <v>1.0662</v>
      </c>
      <c r="AG472" s="301">
        <v>0.1036</v>
      </c>
      <c r="AH472" s="301">
        <v>3.3857</v>
      </c>
      <c r="AI472" s="301">
        <v>0.2993</v>
      </c>
      <c r="AJ472" s="301">
        <v>0.5232</v>
      </c>
      <c r="AK472" s="301">
        <v>4.9949</v>
      </c>
      <c r="AL472">
        <v>217</v>
      </c>
      <c r="AM472" t="s">
        <v>413</v>
      </c>
    </row>
    <row r="473" spans="1:39" ht="15">
      <c r="A473" s="470">
        <v>41222</v>
      </c>
      <c r="B473" s="301">
        <v>0.1063</v>
      </c>
      <c r="C473" s="301">
        <v>3.2588</v>
      </c>
      <c r="D473" s="301">
        <v>3.3943</v>
      </c>
      <c r="E473" s="301">
        <v>0.4204</v>
      </c>
      <c r="F473" s="301">
        <v>3.261</v>
      </c>
      <c r="G473" s="301">
        <v>2.6622</v>
      </c>
      <c r="H473" s="301">
        <v>2.6649</v>
      </c>
      <c r="I473" s="301">
        <v>4.1527</v>
      </c>
      <c r="J473" s="301">
        <v>1.4622</v>
      </c>
      <c r="K473" s="301">
        <v>3.4418</v>
      </c>
      <c r="L473" s="301">
        <v>5.2058</v>
      </c>
      <c r="M473" s="301">
        <v>0.3982</v>
      </c>
      <c r="N473" s="301">
        <v>4.1061</v>
      </c>
      <c r="O473" s="301">
        <v>0.1638</v>
      </c>
      <c r="P473" s="301">
        <v>0.5567</v>
      </c>
      <c r="R473" s="301">
        <v>2.5438</v>
      </c>
      <c r="S473" s="301">
        <v>0.5692</v>
      </c>
      <c r="U473" s="301">
        <v>0.4856</v>
      </c>
      <c r="V473" s="301">
        <v>0.5509</v>
      </c>
      <c r="W473" s="301">
        <v>0.9185</v>
      </c>
      <c r="X473" s="301">
        <v>2.1233</v>
      </c>
      <c r="Y473" s="301">
        <v>1.8206</v>
      </c>
      <c r="Z473" s="301">
        <v>1.2027</v>
      </c>
      <c r="AA473" s="301">
        <v>5.9652</v>
      </c>
      <c r="AB473" s="301">
        <v>0.0794</v>
      </c>
      <c r="AC473" s="301">
        <v>0.2476</v>
      </c>
      <c r="AD473" s="301">
        <v>0.3743</v>
      </c>
      <c r="AE473" s="301">
        <v>1.597</v>
      </c>
      <c r="AF473" s="301">
        <v>1.0642</v>
      </c>
      <c r="AG473" s="301">
        <v>0.1033</v>
      </c>
      <c r="AH473" s="301">
        <v>3.3831</v>
      </c>
      <c r="AI473" s="301">
        <v>0.2995</v>
      </c>
      <c r="AJ473" s="301">
        <v>0.5218</v>
      </c>
      <c r="AK473" s="301">
        <v>4.9809</v>
      </c>
      <c r="AL473">
        <v>218</v>
      </c>
      <c r="AM473" t="s">
        <v>413</v>
      </c>
    </row>
    <row r="474" spans="1:39" ht="15">
      <c r="A474" s="470">
        <v>41225</v>
      </c>
      <c r="B474" s="301">
        <v>0.107</v>
      </c>
      <c r="C474" s="301">
        <v>3.2803</v>
      </c>
      <c r="D474" s="301">
        <v>3.4186</v>
      </c>
      <c r="E474" s="301">
        <v>0.4231</v>
      </c>
      <c r="F474" s="301">
        <v>3.2819</v>
      </c>
      <c r="G474" s="301">
        <v>2.6803</v>
      </c>
      <c r="H474" s="301">
        <v>2.6811</v>
      </c>
      <c r="I474" s="301">
        <v>4.1661</v>
      </c>
      <c r="J474" s="301">
        <v>1.4699</v>
      </c>
      <c r="K474" s="301">
        <v>3.4565</v>
      </c>
      <c r="L474" s="301">
        <v>5.2102</v>
      </c>
      <c r="M474" s="301">
        <v>0.3992</v>
      </c>
      <c r="N474" s="301">
        <v>4.1277</v>
      </c>
      <c r="O474" s="301">
        <v>0.1645</v>
      </c>
      <c r="P474" s="301">
        <v>0.5586</v>
      </c>
      <c r="R474" s="301">
        <v>2.5434</v>
      </c>
      <c r="S474" s="301">
        <v>0.5705</v>
      </c>
      <c r="U474" s="301">
        <v>0.4855</v>
      </c>
      <c r="V474" s="301">
        <v>0.5528</v>
      </c>
      <c r="W474" s="301">
        <v>0.9186</v>
      </c>
      <c r="X474" s="301">
        <v>2.1301</v>
      </c>
      <c r="Y474" s="301">
        <v>1.8236</v>
      </c>
      <c r="Z474" s="301">
        <v>1.2066</v>
      </c>
      <c r="AA474" s="301">
        <v>5.9832</v>
      </c>
      <c r="AB474" s="301">
        <v>0.0798</v>
      </c>
      <c r="AC474" s="301">
        <v>0.2484</v>
      </c>
      <c r="AD474" s="301">
        <v>0.3762</v>
      </c>
      <c r="AE474" s="301">
        <v>1.6027</v>
      </c>
      <c r="AF474" s="301">
        <v>1.0707</v>
      </c>
      <c r="AG474" s="301">
        <v>0.1037</v>
      </c>
      <c r="AH474" s="301">
        <v>3.3981</v>
      </c>
      <c r="AI474" s="301">
        <v>0.3013</v>
      </c>
      <c r="AJ474" s="301">
        <v>0.5265</v>
      </c>
      <c r="AK474" s="301">
        <v>5.0134</v>
      </c>
      <c r="AL474">
        <v>219</v>
      </c>
      <c r="AM474" t="s">
        <v>413</v>
      </c>
    </row>
    <row r="475" spans="1:39" ht="15">
      <c r="A475" s="470">
        <v>41226</v>
      </c>
      <c r="B475" s="301">
        <v>0.1075</v>
      </c>
      <c r="C475" s="301">
        <v>3.2945</v>
      </c>
      <c r="D475" s="301">
        <v>3.4324</v>
      </c>
      <c r="E475" s="301">
        <v>0.4251</v>
      </c>
      <c r="F475" s="301">
        <v>3.2933</v>
      </c>
      <c r="G475" s="301">
        <v>2.6969</v>
      </c>
      <c r="H475" s="301">
        <v>2.694</v>
      </c>
      <c r="I475" s="301">
        <v>4.1782</v>
      </c>
      <c r="J475" s="301">
        <v>1.467</v>
      </c>
      <c r="K475" s="301">
        <v>3.4688</v>
      </c>
      <c r="L475" s="301">
        <v>5.2378</v>
      </c>
      <c r="M475" s="301">
        <v>0.4004</v>
      </c>
      <c r="N475" s="301">
        <v>4.1556</v>
      </c>
      <c r="O475" s="301">
        <v>0.1645</v>
      </c>
      <c r="P475" s="301">
        <v>0.5603</v>
      </c>
      <c r="R475" s="301">
        <v>2.5508</v>
      </c>
      <c r="S475" s="301">
        <v>0.5712</v>
      </c>
      <c r="U475" s="301">
        <v>0.4857</v>
      </c>
      <c r="V475" s="301">
        <v>0.5544</v>
      </c>
      <c r="W475" s="301">
        <v>0.9222</v>
      </c>
      <c r="X475" s="301">
        <v>2.1363</v>
      </c>
      <c r="Y475" s="301">
        <v>1.8253</v>
      </c>
      <c r="Z475" s="301">
        <v>1.2101</v>
      </c>
      <c r="AA475" s="301">
        <v>6.0014</v>
      </c>
      <c r="AB475" s="301">
        <v>0.08</v>
      </c>
      <c r="AC475" s="301">
        <v>0.2489</v>
      </c>
      <c r="AD475" s="301">
        <v>0.3747</v>
      </c>
      <c r="AE475" s="301">
        <v>1.6062</v>
      </c>
      <c r="AF475" s="301">
        <v>1.0749</v>
      </c>
      <c r="AG475" s="301">
        <v>0.1037</v>
      </c>
      <c r="AH475" s="301">
        <v>3.408</v>
      </c>
      <c r="AI475" s="301">
        <v>0.3021</v>
      </c>
      <c r="AJ475" s="301">
        <v>0.5292</v>
      </c>
      <c r="AK475" s="301">
        <v>5.0073</v>
      </c>
      <c r="AL475">
        <v>220</v>
      </c>
      <c r="AM475" t="s">
        <v>413</v>
      </c>
    </row>
    <row r="476" spans="1:39" ht="15">
      <c r="A476" s="470">
        <v>41227</v>
      </c>
      <c r="B476" s="301">
        <v>0.107</v>
      </c>
      <c r="C476" s="301">
        <v>3.275</v>
      </c>
      <c r="D476" s="301">
        <v>3.4241</v>
      </c>
      <c r="E476" s="301">
        <v>0.4232</v>
      </c>
      <c r="F476" s="301">
        <v>3.2751</v>
      </c>
      <c r="G476" s="301">
        <v>2.6771</v>
      </c>
      <c r="H476" s="301">
        <v>2.6804</v>
      </c>
      <c r="I476" s="301">
        <v>4.1754</v>
      </c>
      <c r="J476" s="301">
        <v>1.4653</v>
      </c>
      <c r="K476" s="301">
        <v>3.4685</v>
      </c>
      <c r="L476" s="301">
        <v>5.2059</v>
      </c>
      <c r="M476" s="301">
        <v>0.3984</v>
      </c>
      <c r="N476" s="301">
        <v>4.0977</v>
      </c>
      <c r="O476" s="301">
        <v>0.164</v>
      </c>
      <c r="P476" s="301">
        <v>0.5598</v>
      </c>
      <c r="R476" s="301">
        <v>2.5413</v>
      </c>
      <c r="S476" s="301">
        <v>0.5699</v>
      </c>
      <c r="U476" s="301">
        <v>0.484</v>
      </c>
      <c r="V476" s="301">
        <v>0.554</v>
      </c>
      <c r="W476" s="301">
        <v>0.9205</v>
      </c>
      <c r="X476" s="301">
        <v>2.1349</v>
      </c>
      <c r="Y476" s="301">
        <v>1.8167</v>
      </c>
      <c r="Z476" s="301">
        <v>1.2093</v>
      </c>
      <c r="AA476" s="301">
        <v>5.9983</v>
      </c>
      <c r="AB476" s="301">
        <v>0.0797</v>
      </c>
      <c r="AC476" s="301">
        <v>0.2486</v>
      </c>
      <c r="AD476" s="301">
        <v>0.3715</v>
      </c>
      <c r="AE476" s="301">
        <v>1.5913</v>
      </c>
      <c r="AF476" s="301">
        <v>1.0694</v>
      </c>
      <c r="AG476" s="301">
        <v>0.1036</v>
      </c>
      <c r="AH476" s="301">
        <v>3.4113</v>
      </c>
      <c r="AI476" s="301">
        <v>0.3018</v>
      </c>
      <c r="AJ476" s="301">
        <v>0.5261</v>
      </c>
      <c r="AK476" s="301">
        <v>5.0204</v>
      </c>
      <c r="AL476">
        <v>221</v>
      </c>
      <c r="AM476" t="s">
        <v>413</v>
      </c>
    </row>
    <row r="477" spans="1:39" ht="15">
      <c r="A477" s="470">
        <v>41228</v>
      </c>
      <c r="B477" s="301">
        <v>0.1066</v>
      </c>
      <c r="C477" s="301">
        <v>3.2678</v>
      </c>
      <c r="D477" s="301">
        <v>3.38</v>
      </c>
      <c r="E477" s="301">
        <v>0.4216</v>
      </c>
      <c r="F477" s="301">
        <v>3.2636</v>
      </c>
      <c r="G477" s="301">
        <v>2.6527</v>
      </c>
      <c r="H477" s="301">
        <v>2.668</v>
      </c>
      <c r="I477" s="301">
        <v>4.1712</v>
      </c>
      <c r="J477" s="301">
        <v>1.4615</v>
      </c>
      <c r="K477" s="301">
        <v>3.4639</v>
      </c>
      <c r="L477" s="301">
        <v>5.1794</v>
      </c>
      <c r="M477" s="301">
        <v>0.3963</v>
      </c>
      <c r="N477" s="301">
        <v>4.0405</v>
      </c>
      <c r="O477" s="301">
        <v>0.164</v>
      </c>
      <c r="P477" s="301">
        <v>0.5593</v>
      </c>
      <c r="R477" s="301">
        <v>2.5334</v>
      </c>
      <c r="S477" s="301">
        <v>0.567</v>
      </c>
      <c r="U477" s="301">
        <v>0.483</v>
      </c>
      <c r="V477" s="301">
        <v>0.5533</v>
      </c>
      <c r="W477" s="301">
        <v>0.9179</v>
      </c>
      <c r="X477" s="301">
        <v>2.1327</v>
      </c>
      <c r="Y477" s="301">
        <v>1.8164</v>
      </c>
      <c r="Z477" s="301">
        <v>1.208</v>
      </c>
      <c r="AA477" s="301">
        <v>5.9927</v>
      </c>
      <c r="AB477" s="301">
        <v>0.0792</v>
      </c>
      <c r="AC477" s="301">
        <v>0.2467</v>
      </c>
      <c r="AD477" s="301">
        <v>0.3662</v>
      </c>
      <c r="AE477" s="301">
        <v>1.581</v>
      </c>
      <c r="AF477" s="301">
        <v>1.0672</v>
      </c>
      <c r="AG477" s="301">
        <v>0.1032</v>
      </c>
      <c r="AH477" s="301">
        <v>3.4044</v>
      </c>
      <c r="AI477" s="301">
        <v>0.3006</v>
      </c>
      <c r="AJ477" s="301">
        <v>0.5242</v>
      </c>
      <c r="AK477" s="301">
        <v>5.0025</v>
      </c>
      <c r="AL477">
        <v>222</v>
      </c>
      <c r="AM477" t="s">
        <v>413</v>
      </c>
    </row>
    <row r="478" spans="1:39" ht="15">
      <c r="A478" s="470">
        <v>41229</v>
      </c>
      <c r="B478" s="301">
        <v>0.1062</v>
      </c>
      <c r="C478" s="301">
        <v>3.2682</v>
      </c>
      <c r="D478" s="301">
        <v>3.3738</v>
      </c>
      <c r="E478" s="301">
        <v>0.4222</v>
      </c>
      <c r="F478" s="301">
        <v>3.2631</v>
      </c>
      <c r="G478" s="301">
        <v>2.6448</v>
      </c>
      <c r="H478" s="301">
        <v>2.6604</v>
      </c>
      <c r="I478" s="301">
        <v>4.1614</v>
      </c>
      <c r="J478" s="301">
        <v>1.4628</v>
      </c>
      <c r="K478" s="301">
        <v>3.457</v>
      </c>
      <c r="L478" s="301">
        <v>5.1859</v>
      </c>
      <c r="M478" s="301">
        <v>0.3993</v>
      </c>
      <c r="N478" s="301">
        <v>4.0333</v>
      </c>
      <c r="O478" s="301">
        <v>0.1628</v>
      </c>
      <c r="P478" s="301">
        <v>0.5579</v>
      </c>
      <c r="R478" s="301">
        <v>2.5382</v>
      </c>
      <c r="S478" s="301">
        <v>0.5659</v>
      </c>
      <c r="U478" s="301">
        <v>0.4817</v>
      </c>
      <c r="V478" s="301">
        <v>0.5522</v>
      </c>
      <c r="W478" s="301">
        <v>0.9169</v>
      </c>
      <c r="X478" s="301">
        <v>2.1277</v>
      </c>
      <c r="Y478" s="301">
        <v>1.8148</v>
      </c>
      <c r="Z478" s="301">
        <v>1.2052</v>
      </c>
      <c r="AA478" s="301">
        <v>5.9773</v>
      </c>
      <c r="AB478" s="301">
        <v>0.079</v>
      </c>
      <c r="AC478" s="301">
        <v>0.2465</v>
      </c>
      <c r="AD478" s="301">
        <v>0.3672</v>
      </c>
      <c r="AE478" s="301">
        <v>1.5814</v>
      </c>
      <c r="AF478" s="301">
        <v>1.064</v>
      </c>
      <c r="AG478" s="301">
        <v>0.1029</v>
      </c>
      <c r="AH478" s="301">
        <v>3.3853</v>
      </c>
      <c r="AI478" s="301">
        <v>0.2992</v>
      </c>
      <c r="AJ478" s="301">
        <v>0.5241</v>
      </c>
      <c r="AK478" s="301">
        <v>4.9748</v>
      </c>
      <c r="AL478">
        <v>223</v>
      </c>
      <c r="AM478" t="s">
        <v>413</v>
      </c>
    </row>
    <row r="479" spans="1:39" ht="15">
      <c r="A479" s="470">
        <v>41232</v>
      </c>
      <c r="B479" s="301">
        <v>0.1058</v>
      </c>
      <c r="C479" s="301">
        <v>3.2503</v>
      </c>
      <c r="D479" s="301">
        <v>3.3735</v>
      </c>
      <c r="E479" s="301">
        <v>0.4193</v>
      </c>
      <c r="F479" s="301">
        <v>3.2525</v>
      </c>
      <c r="G479" s="301">
        <v>2.6469</v>
      </c>
      <c r="H479" s="301">
        <v>2.6523</v>
      </c>
      <c r="I479" s="301">
        <v>4.1521</v>
      </c>
      <c r="J479" s="301">
        <v>1.4615</v>
      </c>
      <c r="K479" s="301">
        <v>3.4452</v>
      </c>
      <c r="L479" s="301">
        <v>5.1682</v>
      </c>
      <c r="M479" s="301">
        <v>0.3958</v>
      </c>
      <c r="N479" s="301">
        <v>3.9993</v>
      </c>
      <c r="O479" s="301">
        <v>0.1628</v>
      </c>
      <c r="P479" s="301">
        <v>0.5567</v>
      </c>
      <c r="R479" s="301">
        <v>2.5599</v>
      </c>
      <c r="S479" s="301">
        <v>0.5627</v>
      </c>
      <c r="U479" s="301">
        <v>0.4799</v>
      </c>
      <c r="V479" s="301">
        <v>0.5506</v>
      </c>
      <c r="W479" s="301">
        <v>0.916</v>
      </c>
      <c r="X479" s="301">
        <v>2.123</v>
      </c>
      <c r="Y479" s="301">
        <v>1.8046</v>
      </c>
      <c r="Z479" s="301">
        <v>1.2025</v>
      </c>
      <c r="AA479" s="301">
        <v>5.9648</v>
      </c>
      <c r="AB479" s="301">
        <v>0.0789</v>
      </c>
      <c r="AC479" s="301">
        <v>0.2484</v>
      </c>
      <c r="AD479" s="301">
        <v>0.3673</v>
      </c>
      <c r="AE479" s="301">
        <v>1.5594</v>
      </c>
      <c r="AF479" s="301">
        <v>1.0611</v>
      </c>
      <c r="AG479" s="301">
        <v>0.1029</v>
      </c>
      <c r="AH479" s="301">
        <v>3.3909</v>
      </c>
      <c r="AI479" s="301">
        <v>0.2991</v>
      </c>
      <c r="AJ479" s="301">
        <v>0.5213</v>
      </c>
      <c r="AK479" s="301">
        <v>4.9643</v>
      </c>
      <c r="AL479">
        <v>224</v>
      </c>
      <c r="AM479" t="s">
        <v>413</v>
      </c>
    </row>
    <row r="480" spans="1:39" ht="15">
      <c r="A480" s="470">
        <v>41233</v>
      </c>
      <c r="B480" s="301">
        <v>0.1055</v>
      </c>
      <c r="C480" s="301">
        <v>3.2333</v>
      </c>
      <c r="D480" s="301">
        <v>3.3616</v>
      </c>
      <c r="E480" s="301">
        <v>0.4171</v>
      </c>
      <c r="F480" s="301">
        <v>3.2409</v>
      </c>
      <c r="G480" s="301">
        <v>2.6403</v>
      </c>
      <c r="H480" s="301">
        <v>2.6397</v>
      </c>
      <c r="I480" s="301">
        <v>4.137</v>
      </c>
      <c r="J480" s="301">
        <v>1.4684</v>
      </c>
      <c r="K480" s="301">
        <v>3.4342</v>
      </c>
      <c r="L480" s="301">
        <v>5.1455</v>
      </c>
      <c r="M480" s="301">
        <v>0.3962</v>
      </c>
      <c r="N480" s="301">
        <v>3.9783</v>
      </c>
      <c r="O480" s="301">
        <v>0.1631</v>
      </c>
      <c r="P480" s="301">
        <v>0.5547</v>
      </c>
      <c r="R480" s="301">
        <v>2.5513</v>
      </c>
      <c r="S480" s="301">
        <v>0.5628</v>
      </c>
      <c r="U480" s="301">
        <v>0.4796</v>
      </c>
      <c r="V480" s="301">
        <v>0.5485</v>
      </c>
      <c r="W480" s="301">
        <v>0.912</v>
      </c>
      <c r="X480" s="301">
        <v>2.1152</v>
      </c>
      <c r="Y480" s="301">
        <v>1.7925</v>
      </c>
      <c r="Z480" s="301">
        <v>1.1982</v>
      </c>
      <c r="AA480" s="301">
        <v>5.9414</v>
      </c>
      <c r="AB480" s="301">
        <v>0.0786</v>
      </c>
      <c r="AC480" s="301">
        <v>0.247</v>
      </c>
      <c r="AD480" s="301">
        <v>0.3642</v>
      </c>
      <c r="AE480" s="301">
        <v>1.5573</v>
      </c>
      <c r="AF480" s="301">
        <v>1.0568</v>
      </c>
      <c r="AG480" s="301">
        <v>0.1031</v>
      </c>
      <c r="AH480" s="301">
        <v>3.3518</v>
      </c>
      <c r="AI480" s="301">
        <v>0.2986</v>
      </c>
      <c r="AJ480" s="301">
        <v>0.5188</v>
      </c>
      <c r="AK480" s="301">
        <v>4.9466</v>
      </c>
      <c r="AL480">
        <v>225</v>
      </c>
      <c r="AM480" t="s">
        <v>413</v>
      </c>
    </row>
    <row r="481" spans="1:39" ht="15">
      <c r="A481" s="470">
        <v>41234</v>
      </c>
      <c r="B481" s="301">
        <v>0.1051</v>
      </c>
      <c r="C481" s="301">
        <v>3.2287</v>
      </c>
      <c r="D481" s="301">
        <v>3.3472</v>
      </c>
      <c r="E481" s="301">
        <v>0.4165</v>
      </c>
      <c r="F481" s="301">
        <v>3.236</v>
      </c>
      <c r="G481" s="301">
        <v>2.6293</v>
      </c>
      <c r="H481" s="301">
        <v>2.6346</v>
      </c>
      <c r="I481" s="301">
        <v>4.1266</v>
      </c>
      <c r="J481" s="301">
        <v>1.4672</v>
      </c>
      <c r="K481" s="301">
        <v>3.4267</v>
      </c>
      <c r="L481" s="301">
        <v>5.139</v>
      </c>
      <c r="M481" s="301">
        <v>0.3961</v>
      </c>
      <c r="N481" s="301">
        <v>3.9277</v>
      </c>
      <c r="O481" s="301">
        <v>0.1626</v>
      </c>
      <c r="P481" s="301">
        <v>0.5534</v>
      </c>
      <c r="R481" s="301">
        <v>2.5402</v>
      </c>
      <c r="S481" s="301">
        <v>0.5624</v>
      </c>
      <c r="U481" s="301">
        <v>0.4774</v>
      </c>
      <c r="V481" s="301">
        <v>0.5459</v>
      </c>
      <c r="W481" s="301">
        <v>0.9099</v>
      </c>
      <c r="X481" s="301">
        <v>2.1099</v>
      </c>
      <c r="Y481" s="301">
        <v>1.7956</v>
      </c>
      <c r="Z481" s="301">
        <v>1.1951</v>
      </c>
      <c r="AA481" s="301">
        <v>5.9286</v>
      </c>
      <c r="AB481" s="301">
        <v>0.0786</v>
      </c>
      <c r="AC481" s="301">
        <v>0.2479</v>
      </c>
      <c r="AD481" s="301">
        <v>0.3621</v>
      </c>
      <c r="AE481" s="301">
        <v>1.5518</v>
      </c>
      <c r="AF481" s="301">
        <v>1.0547</v>
      </c>
      <c r="AG481" s="301">
        <v>0.1032</v>
      </c>
      <c r="AH481" s="301">
        <v>3.336</v>
      </c>
      <c r="AI481" s="301">
        <v>0.2981</v>
      </c>
      <c r="AJ481" s="301">
        <v>0.5182</v>
      </c>
      <c r="AK481" s="301">
        <v>4.9205</v>
      </c>
      <c r="AL481">
        <v>226</v>
      </c>
      <c r="AM481" t="s">
        <v>413</v>
      </c>
    </row>
    <row r="482" spans="1:39" ht="15">
      <c r="A482" s="470">
        <v>41235</v>
      </c>
      <c r="B482" s="301">
        <v>0.1043</v>
      </c>
      <c r="C482" s="301">
        <v>3.2021</v>
      </c>
      <c r="D482" s="301">
        <v>3.318</v>
      </c>
      <c r="E482" s="301">
        <v>0.4131</v>
      </c>
      <c r="F482" s="301">
        <v>3.2125</v>
      </c>
      <c r="G482" s="301">
        <v>2.6066</v>
      </c>
      <c r="H482" s="301">
        <v>2.6122</v>
      </c>
      <c r="I482" s="301">
        <v>4.1142</v>
      </c>
      <c r="J482" s="301">
        <v>1.4726</v>
      </c>
      <c r="K482" s="301">
        <v>3.4158</v>
      </c>
      <c r="L482" s="301">
        <v>5.107</v>
      </c>
      <c r="M482" s="301">
        <v>0.393</v>
      </c>
      <c r="N482" s="301">
        <v>3.874</v>
      </c>
      <c r="O482" s="301">
        <v>0.1614</v>
      </c>
      <c r="P482" s="301">
        <v>0.5517</v>
      </c>
      <c r="R482" s="301">
        <v>2.5295</v>
      </c>
      <c r="S482" s="301">
        <v>0.5609</v>
      </c>
      <c r="U482" s="301">
        <v>0.4771</v>
      </c>
      <c r="V482" s="301">
        <v>0.544</v>
      </c>
      <c r="W482" s="301">
        <v>0.9082</v>
      </c>
      <c r="X482" s="301">
        <v>2.1036</v>
      </c>
      <c r="Y482" s="301">
        <v>1.7794</v>
      </c>
      <c r="Z482" s="301">
        <v>1.1916</v>
      </c>
      <c r="AA482" s="301">
        <v>5.9095</v>
      </c>
      <c r="AB482" s="301">
        <v>0.0779</v>
      </c>
      <c r="AC482" s="301">
        <v>0.246</v>
      </c>
      <c r="AD482" s="301">
        <v>0.3567</v>
      </c>
      <c r="AE482" s="301">
        <v>1.5258</v>
      </c>
      <c r="AF482" s="301">
        <v>1.0462</v>
      </c>
      <c r="AG482" s="301">
        <v>0.1027</v>
      </c>
      <c r="AH482" s="301">
        <v>3.3307</v>
      </c>
      <c r="AI482" s="301">
        <v>0.295</v>
      </c>
      <c r="AJ482" s="301">
        <v>0.5141</v>
      </c>
      <c r="AK482" s="301">
        <v>4.9013</v>
      </c>
      <c r="AL482">
        <v>227</v>
      </c>
      <c r="AM482" t="s">
        <v>413</v>
      </c>
    </row>
    <row r="483" spans="1:39" ht="15">
      <c r="A483" s="470">
        <v>41236</v>
      </c>
      <c r="B483" s="301">
        <v>0.1041</v>
      </c>
      <c r="C483" s="301">
        <v>3.1945</v>
      </c>
      <c r="D483" s="301">
        <v>3.3232</v>
      </c>
      <c r="E483" s="301">
        <v>0.4122</v>
      </c>
      <c r="F483" s="301">
        <v>3.2045</v>
      </c>
      <c r="G483" s="301">
        <v>2.6127</v>
      </c>
      <c r="H483" s="301">
        <v>2.6097</v>
      </c>
      <c r="I483" s="301">
        <v>4.1229</v>
      </c>
      <c r="J483" s="301">
        <v>1.471</v>
      </c>
      <c r="K483" s="301">
        <v>3.4208</v>
      </c>
      <c r="L483" s="301">
        <v>5.0928</v>
      </c>
      <c r="M483" s="301">
        <v>0.3921</v>
      </c>
      <c r="N483" s="301">
        <v>3.8828</v>
      </c>
      <c r="O483" s="301">
        <v>0.1625</v>
      </c>
      <c r="P483" s="301">
        <v>0.5528</v>
      </c>
      <c r="R483" s="301">
        <v>2.5341</v>
      </c>
      <c r="S483" s="301">
        <v>0.5626</v>
      </c>
      <c r="U483" s="301">
        <v>0.4797</v>
      </c>
      <c r="V483" s="301">
        <v>0.5455</v>
      </c>
      <c r="W483" s="301">
        <v>0.909</v>
      </c>
      <c r="X483" s="301">
        <v>2.108</v>
      </c>
      <c r="Y483" s="301">
        <v>1.7737</v>
      </c>
      <c r="Z483" s="301">
        <v>1.1941</v>
      </c>
      <c r="AA483" s="301">
        <v>5.922</v>
      </c>
      <c r="AB483" s="301">
        <v>0.0779</v>
      </c>
      <c r="AC483" s="301">
        <v>0.2454</v>
      </c>
      <c r="AD483" s="301">
        <v>0.358</v>
      </c>
      <c r="AE483" s="301">
        <v>1.5181</v>
      </c>
      <c r="AF483" s="301">
        <v>1.0446</v>
      </c>
      <c r="AG483" s="301">
        <v>0.1025</v>
      </c>
      <c r="AH483" s="301">
        <v>3.3377</v>
      </c>
      <c r="AI483" s="301">
        <v>0.2943</v>
      </c>
      <c r="AJ483" s="301">
        <v>0.513</v>
      </c>
      <c r="AK483" s="301">
        <v>4.9117</v>
      </c>
      <c r="AL483">
        <v>228</v>
      </c>
      <c r="AM483" t="s">
        <v>413</v>
      </c>
    </row>
    <row r="484" spans="1:39" ht="15">
      <c r="A484" s="470">
        <v>41239</v>
      </c>
      <c r="B484" s="301">
        <v>0.1034</v>
      </c>
      <c r="C484" s="301">
        <v>3.1744</v>
      </c>
      <c r="D484" s="301">
        <v>3.3153</v>
      </c>
      <c r="E484" s="301">
        <v>0.4095</v>
      </c>
      <c r="F484" s="301">
        <v>3.1947</v>
      </c>
      <c r="G484" s="301">
        <v>2.6111</v>
      </c>
      <c r="H484" s="301">
        <v>2.596</v>
      </c>
      <c r="I484" s="301">
        <v>4.116</v>
      </c>
      <c r="J484" s="301">
        <v>1.459</v>
      </c>
      <c r="K484" s="301">
        <v>3.4173</v>
      </c>
      <c r="L484" s="301">
        <v>5.0815</v>
      </c>
      <c r="M484" s="301">
        <v>0.3895</v>
      </c>
      <c r="N484" s="301">
        <v>3.8671</v>
      </c>
      <c r="O484" s="301">
        <v>0.1627</v>
      </c>
      <c r="P484" s="301">
        <v>0.5519</v>
      </c>
      <c r="R484" s="301">
        <v>2.5259</v>
      </c>
      <c r="S484" s="301">
        <v>0.5604</v>
      </c>
      <c r="U484" s="301">
        <v>0.4785</v>
      </c>
      <c r="V484" s="301">
        <v>0.5444</v>
      </c>
      <c r="W484" s="301">
        <v>0.9087</v>
      </c>
      <c r="X484" s="301">
        <v>2.1045</v>
      </c>
      <c r="Y484" s="301">
        <v>1.7701</v>
      </c>
      <c r="Z484" s="301">
        <v>1.1921</v>
      </c>
      <c r="AA484" s="301">
        <v>5.9121</v>
      </c>
      <c r="AB484" s="301">
        <v>0.0774</v>
      </c>
      <c r="AC484" s="301">
        <v>0.2445</v>
      </c>
      <c r="AD484" s="301">
        <v>0.3581</v>
      </c>
      <c r="AE484" s="301">
        <v>1.5247</v>
      </c>
      <c r="AF484" s="301">
        <v>1.0388</v>
      </c>
      <c r="AG484" s="301">
        <v>0.1023</v>
      </c>
      <c r="AH484" s="301">
        <v>3.3321</v>
      </c>
      <c r="AI484" s="301">
        <v>0.2923</v>
      </c>
      <c r="AJ484" s="301">
        <v>0.5098</v>
      </c>
      <c r="AK484" s="301">
        <v>4.9035</v>
      </c>
      <c r="AL484">
        <v>229</v>
      </c>
      <c r="AM484" t="s">
        <v>413</v>
      </c>
    </row>
    <row r="485" spans="1:39" ht="15">
      <c r="A485" s="470">
        <v>41240</v>
      </c>
      <c r="B485" s="301">
        <v>0.1031</v>
      </c>
      <c r="C485" s="301">
        <v>3.1634</v>
      </c>
      <c r="D485" s="301">
        <v>3.3174</v>
      </c>
      <c r="E485" s="301">
        <v>0.4082</v>
      </c>
      <c r="F485" s="301">
        <v>3.1889</v>
      </c>
      <c r="G485" s="301">
        <v>2.6045</v>
      </c>
      <c r="H485" s="301">
        <v>2.5889</v>
      </c>
      <c r="I485" s="301">
        <v>4.1008</v>
      </c>
      <c r="J485" s="301">
        <v>1.4571</v>
      </c>
      <c r="K485" s="301">
        <v>3.4044</v>
      </c>
      <c r="L485" s="301">
        <v>5.0718</v>
      </c>
      <c r="M485" s="301">
        <v>0.3873</v>
      </c>
      <c r="N485" s="301">
        <v>3.8518</v>
      </c>
      <c r="O485" s="301">
        <v>0.1622</v>
      </c>
      <c r="P485" s="301">
        <v>0.5498</v>
      </c>
      <c r="R485" s="301">
        <v>2.5127</v>
      </c>
      <c r="S485" s="301">
        <v>0.5592</v>
      </c>
      <c r="U485" s="301">
        <v>0.4753</v>
      </c>
      <c r="V485" s="301">
        <v>0.543</v>
      </c>
      <c r="W485" s="301">
        <v>0.9092</v>
      </c>
      <c r="X485" s="301">
        <v>2.0967</v>
      </c>
      <c r="Y485" s="301">
        <v>1.7636</v>
      </c>
      <c r="Z485" s="301">
        <v>1.1877</v>
      </c>
      <c r="AA485" s="301">
        <v>5.8877</v>
      </c>
      <c r="AB485" s="301">
        <v>0.0775</v>
      </c>
      <c r="AC485" s="301">
        <v>0.2439</v>
      </c>
      <c r="AD485" s="301">
        <v>0.3579</v>
      </c>
      <c r="AE485" s="301">
        <v>1.5189</v>
      </c>
      <c r="AF485" s="301">
        <v>1.0387</v>
      </c>
      <c r="AG485" s="301">
        <v>0.102</v>
      </c>
      <c r="AH485" s="301">
        <v>3.2951</v>
      </c>
      <c r="AI485" s="301">
        <v>0.2917</v>
      </c>
      <c r="AJ485" s="301">
        <v>0.5085</v>
      </c>
      <c r="AK485" s="301">
        <v>4.8513</v>
      </c>
      <c r="AL485">
        <v>230</v>
      </c>
      <c r="AM485" t="s">
        <v>413</v>
      </c>
    </row>
    <row r="486" spans="1:39" ht="15">
      <c r="A486" s="470">
        <v>41241</v>
      </c>
      <c r="B486" s="301">
        <v>0.1035</v>
      </c>
      <c r="C486" s="301">
        <v>3.1799</v>
      </c>
      <c r="D486" s="301">
        <v>3.3238</v>
      </c>
      <c r="E486" s="301">
        <v>0.4103</v>
      </c>
      <c r="F486" s="301">
        <v>3.2004</v>
      </c>
      <c r="G486" s="301">
        <v>2.6119</v>
      </c>
      <c r="H486" s="301">
        <v>2.6005</v>
      </c>
      <c r="I486" s="301">
        <v>4.1099</v>
      </c>
      <c r="J486" s="301">
        <v>1.4617</v>
      </c>
      <c r="K486" s="301">
        <v>3.4151</v>
      </c>
      <c r="L486" s="301">
        <v>5.0906</v>
      </c>
      <c r="M486" s="301">
        <v>0.3893</v>
      </c>
      <c r="N486" s="301">
        <v>3.8837</v>
      </c>
      <c r="O486" s="301">
        <v>0.1626</v>
      </c>
      <c r="P486" s="301">
        <v>0.551</v>
      </c>
      <c r="R486" s="301">
        <v>2.5191</v>
      </c>
      <c r="S486" s="301">
        <v>0.5583</v>
      </c>
      <c r="U486" s="301">
        <v>0.4755</v>
      </c>
      <c r="V486" s="301">
        <v>0.544</v>
      </c>
      <c r="W486" s="301">
        <v>0.9109</v>
      </c>
      <c r="X486" s="301">
        <v>2.1014</v>
      </c>
      <c r="Y486" s="301">
        <v>1.7717</v>
      </c>
      <c r="Z486" s="301">
        <v>1.1903</v>
      </c>
      <c r="AA486" s="301">
        <v>5.9016</v>
      </c>
      <c r="AB486" s="301">
        <v>0.0778</v>
      </c>
      <c r="AC486" s="301">
        <v>0.244</v>
      </c>
      <c r="AD486" s="301">
        <v>0.3587</v>
      </c>
      <c r="AE486" s="301">
        <v>1.526</v>
      </c>
      <c r="AF486" s="301">
        <v>1.0416</v>
      </c>
      <c r="AG486" s="301">
        <v>0.1022</v>
      </c>
      <c r="AH486" s="301">
        <v>3.2945</v>
      </c>
      <c r="AI486" s="301">
        <v>0.2925</v>
      </c>
      <c r="AJ486" s="301">
        <v>0.5107</v>
      </c>
      <c r="AK486" s="301">
        <v>4.8619</v>
      </c>
      <c r="AL486">
        <v>231</v>
      </c>
      <c r="AM486" t="s">
        <v>413</v>
      </c>
    </row>
    <row r="487" spans="1:39" ht="15">
      <c r="A487" s="470">
        <v>41242</v>
      </c>
      <c r="B487" s="301">
        <v>0.1027</v>
      </c>
      <c r="C487" s="301">
        <v>3.1556</v>
      </c>
      <c r="D487" s="301">
        <v>3.3019</v>
      </c>
      <c r="E487" s="301">
        <v>0.4071</v>
      </c>
      <c r="F487" s="301">
        <v>3.1817</v>
      </c>
      <c r="G487" s="301">
        <v>2.6049</v>
      </c>
      <c r="H487" s="301">
        <v>2.5854</v>
      </c>
      <c r="I487" s="301">
        <v>4.0968</v>
      </c>
      <c r="J487" s="301">
        <v>1.4679</v>
      </c>
      <c r="K487" s="301">
        <v>3.4025</v>
      </c>
      <c r="L487" s="301">
        <v>5.0565</v>
      </c>
      <c r="M487" s="301">
        <v>0.3862</v>
      </c>
      <c r="N487" s="301">
        <v>3.8412</v>
      </c>
      <c r="O487" s="301">
        <v>0.1622</v>
      </c>
      <c r="P487" s="301">
        <v>0.5492</v>
      </c>
      <c r="R487" s="301">
        <v>2.5072</v>
      </c>
      <c r="S487" s="301">
        <v>0.5579</v>
      </c>
      <c r="U487" s="301">
        <v>0.4761</v>
      </c>
      <c r="V487" s="301">
        <v>0.5433</v>
      </c>
      <c r="W487" s="301">
        <v>0.9096</v>
      </c>
      <c r="X487" s="301">
        <v>2.0947</v>
      </c>
      <c r="Y487" s="301">
        <v>1.7662</v>
      </c>
      <c r="Z487" s="301">
        <v>1.1865</v>
      </c>
      <c r="AA487" s="301">
        <v>5.8845</v>
      </c>
      <c r="AB487" s="301">
        <v>0.0772</v>
      </c>
      <c r="AC487" s="301">
        <v>0.2437</v>
      </c>
      <c r="AD487" s="301">
        <v>0.36</v>
      </c>
      <c r="AE487" s="301">
        <v>1.5077</v>
      </c>
      <c r="AF487" s="301">
        <v>1.036</v>
      </c>
      <c r="AG487" s="301">
        <v>0.1019</v>
      </c>
      <c r="AH487" s="301">
        <v>3.2926</v>
      </c>
      <c r="AI487" s="301">
        <v>0.2912</v>
      </c>
      <c r="AJ487" s="301">
        <v>0.5066</v>
      </c>
      <c r="AK487" s="301">
        <v>4.864</v>
      </c>
      <c r="AL487">
        <v>232</v>
      </c>
      <c r="AM487" t="s">
        <v>413</v>
      </c>
    </row>
    <row r="488" spans="1:39" ht="15">
      <c r="A488" s="470">
        <v>41243</v>
      </c>
      <c r="B488" s="301">
        <v>0.103</v>
      </c>
      <c r="C488" s="301">
        <v>3.1585</v>
      </c>
      <c r="D488" s="301">
        <v>3.2913</v>
      </c>
      <c r="E488" s="301">
        <v>0.4075</v>
      </c>
      <c r="F488" s="301">
        <v>3.1805</v>
      </c>
      <c r="G488" s="301">
        <v>2.593</v>
      </c>
      <c r="H488" s="301">
        <v>2.5862</v>
      </c>
      <c r="I488" s="301">
        <v>4.1064</v>
      </c>
      <c r="J488" s="301">
        <v>1.4645</v>
      </c>
      <c r="K488" s="301">
        <v>3.4088</v>
      </c>
      <c r="L488" s="301">
        <v>5.0621</v>
      </c>
      <c r="M488" s="301">
        <v>0.3871</v>
      </c>
      <c r="N488" s="301">
        <v>3.8213</v>
      </c>
      <c r="O488" s="301">
        <v>0.163</v>
      </c>
      <c r="P488" s="301">
        <v>0.5505</v>
      </c>
      <c r="R488" s="301">
        <v>2.5123</v>
      </c>
      <c r="S488" s="301">
        <v>0.5568</v>
      </c>
      <c r="U488" s="301">
        <v>0.4744</v>
      </c>
      <c r="V488" s="301">
        <v>0.545</v>
      </c>
      <c r="W488" s="301">
        <v>0.9103</v>
      </c>
      <c r="X488" s="301">
        <v>2.0996</v>
      </c>
      <c r="Y488" s="301">
        <v>1.7673</v>
      </c>
      <c r="Z488" s="301">
        <v>1.1893</v>
      </c>
      <c r="AA488" s="301">
        <v>5.8975</v>
      </c>
      <c r="AB488" s="301">
        <v>0.0774</v>
      </c>
      <c r="AC488" s="301">
        <v>0.2441</v>
      </c>
      <c r="AD488" s="301">
        <v>0.3601</v>
      </c>
      <c r="AE488" s="301">
        <v>1.5049</v>
      </c>
      <c r="AF488" s="301">
        <v>1.039</v>
      </c>
      <c r="AG488" s="301">
        <v>0.1022</v>
      </c>
      <c r="AH488" s="301">
        <v>3.2937</v>
      </c>
      <c r="AI488" s="301">
        <v>0.2917</v>
      </c>
      <c r="AJ488" s="301">
        <v>0.5072</v>
      </c>
      <c r="AK488" s="301">
        <v>4.8494</v>
      </c>
      <c r="AL488">
        <v>233</v>
      </c>
      <c r="AM488" t="s">
        <v>413</v>
      </c>
    </row>
    <row r="489" spans="1:39" ht="15">
      <c r="A489" s="470">
        <v>41246</v>
      </c>
      <c r="B489" s="301">
        <v>0.1028</v>
      </c>
      <c r="C489" s="301">
        <v>3.1498</v>
      </c>
      <c r="D489" s="301">
        <v>3.2799</v>
      </c>
      <c r="E489" s="301">
        <v>0.4065</v>
      </c>
      <c r="F489" s="301">
        <v>3.1708</v>
      </c>
      <c r="G489" s="301">
        <v>2.5833</v>
      </c>
      <c r="H489" s="301">
        <v>2.5819</v>
      </c>
      <c r="I489" s="301">
        <v>4.1083</v>
      </c>
      <c r="J489" s="301">
        <v>1.4593</v>
      </c>
      <c r="K489" s="301">
        <v>3.405</v>
      </c>
      <c r="L489" s="301">
        <v>5.0561</v>
      </c>
      <c r="M489" s="301">
        <v>0.385</v>
      </c>
      <c r="N489" s="301">
        <v>3.8354</v>
      </c>
      <c r="O489" s="301">
        <v>0.1625</v>
      </c>
      <c r="P489" s="301">
        <v>0.5507</v>
      </c>
      <c r="R489" s="301">
        <v>2.5112</v>
      </c>
      <c r="S489" s="301">
        <v>0.5579</v>
      </c>
      <c r="U489" s="301">
        <v>0.4737</v>
      </c>
      <c r="V489" s="301">
        <v>0.5453</v>
      </c>
      <c r="W489" s="301">
        <v>0.9094</v>
      </c>
      <c r="X489" s="301">
        <v>2.1006</v>
      </c>
      <c r="Y489" s="301">
        <v>1.7629</v>
      </c>
      <c r="Z489" s="301">
        <v>1.1898</v>
      </c>
      <c r="AA489" s="301">
        <v>5.9019</v>
      </c>
      <c r="AB489" s="301">
        <v>0.077</v>
      </c>
      <c r="AC489" s="301">
        <v>0.2432</v>
      </c>
      <c r="AD489" s="301">
        <v>0.3553</v>
      </c>
      <c r="AE489" s="301">
        <v>1.4747</v>
      </c>
      <c r="AF489" s="301">
        <v>1.0355</v>
      </c>
      <c r="AG489" s="301">
        <v>0.1019</v>
      </c>
      <c r="AH489" s="301">
        <v>3.2893</v>
      </c>
      <c r="AI489" s="301">
        <v>0.2907</v>
      </c>
      <c r="AJ489" s="301">
        <v>0.5058</v>
      </c>
      <c r="AK489" s="301">
        <v>4.8556</v>
      </c>
      <c r="AL489">
        <v>234</v>
      </c>
      <c r="AM489" t="s">
        <v>413</v>
      </c>
    </row>
    <row r="490" spans="1:39" ht="15">
      <c r="A490" s="470">
        <v>41247</v>
      </c>
      <c r="B490" s="301">
        <v>0.1029</v>
      </c>
      <c r="C490" s="301">
        <v>3.1575</v>
      </c>
      <c r="D490" s="301">
        <v>3.3059</v>
      </c>
      <c r="E490" s="301">
        <v>0.4074</v>
      </c>
      <c r="F490" s="301">
        <v>3.1763</v>
      </c>
      <c r="G490" s="301">
        <v>2.6034</v>
      </c>
      <c r="H490" s="301">
        <v>2.5919</v>
      </c>
      <c r="I490" s="301">
        <v>4.1273</v>
      </c>
      <c r="J490" s="301">
        <v>1.4643</v>
      </c>
      <c r="K490" s="301">
        <v>3.401</v>
      </c>
      <c r="L490" s="301">
        <v>5.0901</v>
      </c>
      <c r="M490" s="301">
        <v>0.3872</v>
      </c>
      <c r="N490" s="301">
        <v>3.8496</v>
      </c>
      <c r="O490" s="301">
        <v>0.1634</v>
      </c>
      <c r="P490" s="301">
        <v>0.5532</v>
      </c>
      <c r="R490" s="301">
        <v>2.5259</v>
      </c>
      <c r="S490" s="301">
        <v>0.5618</v>
      </c>
      <c r="U490" s="301">
        <v>0.4778</v>
      </c>
      <c r="V490" s="301">
        <v>0.5485</v>
      </c>
      <c r="W490" s="301">
        <v>0.9109</v>
      </c>
      <c r="X490" s="301">
        <v>2.1103</v>
      </c>
      <c r="Y490" s="301">
        <v>1.7691</v>
      </c>
      <c r="Z490" s="301">
        <v>1.1953</v>
      </c>
      <c r="AA490" s="301">
        <v>5.9283</v>
      </c>
      <c r="AB490" s="301">
        <v>0.0772</v>
      </c>
      <c r="AC490" s="301">
        <v>0.2434</v>
      </c>
      <c r="AD490" s="301">
        <v>0.3571</v>
      </c>
      <c r="AE490" s="301">
        <v>1.4897</v>
      </c>
      <c r="AF490" s="301">
        <v>1.0375</v>
      </c>
      <c r="AG490" s="301">
        <v>0.1021</v>
      </c>
      <c r="AH490" s="301">
        <v>3.2887</v>
      </c>
      <c r="AI490" s="301">
        <v>0.2912</v>
      </c>
      <c r="AJ490" s="301">
        <v>0.5071</v>
      </c>
      <c r="AK490" s="301">
        <v>4.857</v>
      </c>
      <c r="AL490">
        <v>235</v>
      </c>
      <c r="AM490" t="s">
        <v>413</v>
      </c>
    </row>
    <row r="491" spans="1:39" ht="15">
      <c r="A491" s="470">
        <v>41248</v>
      </c>
      <c r="B491" s="301">
        <v>0.1027</v>
      </c>
      <c r="C491" s="301">
        <v>3.1516</v>
      </c>
      <c r="D491" s="301">
        <v>3.2967</v>
      </c>
      <c r="E491" s="301">
        <v>0.4072</v>
      </c>
      <c r="F491" s="301">
        <v>3.1749</v>
      </c>
      <c r="G491" s="301">
        <v>2.5976</v>
      </c>
      <c r="H491" s="301">
        <v>2.5851</v>
      </c>
      <c r="I491" s="301">
        <v>4.1251</v>
      </c>
      <c r="J491" s="301">
        <v>1.4585</v>
      </c>
      <c r="K491" s="301">
        <v>3.3956</v>
      </c>
      <c r="L491" s="301">
        <v>5.0708</v>
      </c>
      <c r="M491" s="301">
        <v>0.3841</v>
      </c>
      <c r="N491" s="301">
        <v>3.8318</v>
      </c>
      <c r="O491" s="301">
        <v>0.1634</v>
      </c>
      <c r="P491" s="301">
        <v>0.5529</v>
      </c>
      <c r="R491" s="301">
        <v>2.5222</v>
      </c>
      <c r="S491" s="301">
        <v>0.5609</v>
      </c>
      <c r="U491" s="301">
        <v>0.4771</v>
      </c>
      <c r="V491" s="301">
        <v>0.5487</v>
      </c>
      <c r="W491" s="301">
        <v>0.9079</v>
      </c>
      <c r="X491" s="301">
        <v>2.1092</v>
      </c>
      <c r="Y491" s="301">
        <v>1.7648</v>
      </c>
      <c r="Z491" s="301">
        <v>1.1947</v>
      </c>
      <c r="AA491" s="301">
        <v>5.9235</v>
      </c>
      <c r="AB491" s="301">
        <v>0.0771</v>
      </c>
      <c r="AC491" s="301">
        <v>0.2432</v>
      </c>
      <c r="AD491" s="301">
        <v>0.3585</v>
      </c>
      <c r="AE491" s="301">
        <v>1.4864</v>
      </c>
      <c r="AF491" s="301">
        <v>1.036</v>
      </c>
      <c r="AG491" s="301">
        <v>0.1021</v>
      </c>
      <c r="AH491" s="301">
        <v>3.2713</v>
      </c>
      <c r="AI491" s="301">
        <v>0.2914</v>
      </c>
      <c r="AJ491" s="301">
        <v>0.5061</v>
      </c>
      <c r="AK491" s="301">
        <v>4.852</v>
      </c>
      <c r="AL491">
        <v>236</v>
      </c>
      <c r="AM491" t="s">
        <v>413</v>
      </c>
    </row>
    <row r="492" spans="1:39" ht="15">
      <c r="A492" s="470">
        <v>41249</v>
      </c>
      <c r="B492" s="301">
        <v>0.1029</v>
      </c>
      <c r="C492" s="301">
        <v>3.1538</v>
      </c>
      <c r="D492" s="301">
        <v>3.306</v>
      </c>
      <c r="E492" s="301">
        <v>0.4069</v>
      </c>
      <c r="F492" s="301">
        <v>3.1831</v>
      </c>
      <c r="G492" s="301">
        <v>2.6194</v>
      </c>
      <c r="H492" s="301">
        <v>2.5872</v>
      </c>
      <c r="I492" s="301">
        <v>4.1247</v>
      </c>
      <c r="J492" s="301">
        <v>1.4582</v>
      </c>
      <c r="K492" s="301">
        <v>3.4031</v>
      </c>
      <c r="L492" s="301">
        <v>5.0816</v>
      </c>
      <c r="M492" s="301">
        <v>0.3858</v>
      </c>
      <c r="N492" s="301">
        <v>3.8257</v>
      </c>
      <c r="O492" s="301">
        <v>0.1638</v>
      </c>
      <c r="P492" s="301">
        <v>0.5529</v>
      </c>
      <c r="R492" s="301">
        <v>2.5212</v>
      </c>
      <c r="S492" s="301">
        <v>0.5615</v>
      </c>
      <c r="U492" s="301">
        <v>0.4781</v>
      </c>
      <c r="V492" s="301">
        <v>0.5477</v>
      </c>
      <c r="W492" s="301">
        <v>0.908</v>
      </c>
      <c r="X492" s="301">
        <v>2.109</v>
      </c>
      <c r="Y492" s="301">
        <v>1.7617</v>
      </c>
      <c r="Z492" s="301">
        <v>1.1946</v>
      </c>
      <c r="AA492" s="301">
        <v>5.9237</v>
      </c>
      <c r="AB492" s="301">
        <v>0.077</v>
      </c>
      <c r="AC492" s="301">
        <v>0.2446</v>
      </c>
      <c r="AD492" s="301">
        <v>0.3608</v>
      </c>
      <c r="AE492" s="301">
        <v>1.5104</v>
      </c>
      <c r="AF492" s="301">
        <v>1.035</v>
      </c>
      <c r="AG492" s="301">
        <v>0.1023</v>
      </c>
      <c r="AH492" s="301">
        <v>3.2868</v>
      </c>
      <c r="AI492" s="301">
        <v>0.2911</v>
      </c>
      <c r="AJ492" s="301">
        <v>0.5063</v>
      </c>
      <c r="AK492" s="301">
        <v>4.86</v>
      </c>
      <c r="AL492">
        <v>237</v>
      </c>
      <c r="AM492" t="s">
        <v>413</v>
      </c>
    </row>
    <row r="493" spans="1:39" ht="15">
      <c r="A493" s="470">
        <v>41250</v>
      </c>
      <c r="B493" s="301">
        <v>0.1041</v>
      </c>
      <c r="C493" s="301">
        <v>3.193</v>
      </c>
      <c r="D493" s="301">
        <v>3.3451</v>
      </c>
      <c r="E493" s="301">
        <v>0.4122</v>
      </c>
      <c r="F493" s="301">
        <v>3.2199</v>
      </c>
      <c r="G493" s="301">
        <v>2.6571</v>
      </c>
      <c r="H493" s="301">
        <v>2.6164</v>
      </c>
      <c r="I493" s="301">
        <v>4.1332</v>
      </c>
      <c r="J493" s="301">
        <v>1.4587</v>
      </c>
      <c r="K493" s="301">
        <v>3.4166</v>
      </c>
      <c r="L493" s="301">
        <v>5.1236</v>
      </c>
      <c r="M493" s="301">
        <v>0.3905</v>
      </c>
      <c r="N493" s="301">
        <v>3.8786</v>
      </c>
      <c r="O493" s="301">
        <v>0.1638</v>
      </c>
      <c r="P493" s="301">
        <v>0.5542</v>
      </c>
      <c r="R493" s="301">
        <v>2.5318</v>
      </c>
      <c r="S493" s="301">
        <v>0.5634</v>
      </c>
      <c r="U493" s="301">
        <v>0.4794</v>
      </c>
      <c r="V493" s="301">
        <v>0.5493</v>
      </c>
      <c r="W493" s="301">
        <v>0.9113</v>
      </c>
      <c r="X493" s="301">
        <v>2.1133</v>
      </c>
      <c r="Y493" s="301">
        <v>1.783</v>
      </c>
      <c r="Z493" s="301">
        <v>1.1971</v>
      </c>
      <c r="AA493" s="301">
        <v>5.9359</v>
      </c>
      <c r="AB493" s="301">
        <v>0.078</v>
      </c>
      <c r="AC493" s="301">
        <v>0.2478</v>
      </c>
      <c r="AD493" s="301">
        <v>0.3671</v>
      </c>
      <c r="AE493" s="301">
        <v>1.5378</v>
      </c>
      <c r="AF493" s="301">
        <v>1.0455</v>
      </c>
      <c r="AG493" s="301">
        <v>0.1034</v>
      </c>
      <c r="AH493" s="301">
        <v>3.3039</v>
      </c>
      <c r="AI493" s="301">
        <v>0.2952</v>
      </c>
      <c r="AJ493" s="301">
        <v>0.5128</v>
      </c>
      <c r="AK493" s="301">
        <v>4.8638</v>
      </c>
      <c r="AL493">
        <v>238</v>
      </c>
      <c r="AM493" t="s">
        <v>413</v>
      </c>
    </row>
    <row r="494" spans="1:39" ht="15">
      <c r="A494" s="470">
        <v>41253</v>
      </c>
      <c r="B494" s="301">
        <v>0.1043</v>
      </c>
      <c r="C494" s="301">
        <v>3.1978</v>
      </c>
      <c r="D494" s="301">
        <v>3.3498</v>
      </c>
      <c r="E494" s="301">
        <v>0.4126</v>
      </c>
      <c r="F494" s="301">
        <v>3.2361</v>
      </c>
      <c r="G494" s="301">
        <v>2.6626</v>
      </c>
      <c r="H494" s="301">
        <v>2.6161</v>
      </c>
      <c r="I494" s="301">
        <v>4.125</v>
      </c>
      <c r="J494" s="301">
        <v>1.4544</v>
      </c>
      <c r="K494" s="301">
        <v>3.4193</v>
      </c>
      <c r="L494" s="301">
        <v>5.1274</v>
      </c>
      <c r="M494" s="301">
        <v>0.3933</v>
      </c>
      <c r="N494" s="301">
        <v>3.8884</v>
      </c>
      <c r="O494" s="301">
        <v>0.1638</v>
      </c>
      <c r="P494" s="301">
        <v>0.5531</v>
      </c>
      <c r="R494" s="301">
        <v>2.5206</v>
      </c>
      <c r="S494" s="301">
        <v>0.5624</v>
      </c>
      <c r="U494" s="301">
        <v>0.4779</v>
      </c>
      <c r="V494" s="301">
        <v>0.5475</v>
      </c>
      <c r="W494" s="301">
        <v>0.9097</v>
      </c>
      <c r="X494" s="301">
        <v>2.1091</v>
      </c>
      <c r="Y494" s="301">
        <v>1.7872</v>
      </c>
      <c r="Z494" s="301">
        <v>1.1947</v>
      </c>
      <c r="AA494" s="301">
        <v>5.925</v>
      </c>
      <c r="AB494" s="301">
        <v>0.0781</v>
      </c>
      <c r="AC494" s="301">
        <v>0.2489</v>
      </c>
      <c r="AD494" s="301">
        <v>0.3678</v>
      </c>
      <c r="AE494" s="301">
        <v>1.5415</v>
      </c>
      <c r="AF494" s="301">
        <v>1.0454</v>
      </c>
      <c r="AG494" s="301">
        <v>0.1034</v>
      </c>
      <c r="AH494" s="301">
        <v>3.2869</v>
      </c>
      <c r="AI494" s="301">
        <v>0.2964</v>
      </c>
      <c r="AJ494" s="301">
        <v>0.5134</v>
      </c>
      <c r="AK494" s="301">
        <v>4.896</v>
      </c>
      <c r="AL494">
        <v>239</v>
      </c>
      <c r="AM494" t="s">
        <v>413</v>
      </c>
    </row>
    <row r="495" spans="1:39" ht="15">
      <c r="A495" s="470">
        <v>41254</v>
      </c>
      <c r="B495" s="301">
        <v>0.1033</v>
      </c>
      <c r="C495" s="301">
        <v>3.1645</v>
      </c>
      <c r="D495" s="301">
        <v>3.3182</v>
      </c>
      <c r="E495" s="301">
        <v>0.4083</v>
      </c>
      <c r="F495" s="301">
        <v>3.2055</v>
      </c>
      <c r="G495" s="301">
        <v>2.6473</v>
      </c>
      <c r="H495" s="301">
        <v>2.5914</v>
      </c>
      <c r="I495" s="301">
        <v>4.1025</v>
      </c>
      <c r="J495" s="301">
        <v>1.4526</v>
      </c>
      <c r="K495" s="301">
        <v>3.387</v>
      </c>
      <c r="L495" s="301">
        <v>5.0906</v>
      </c>
      <c r="M495" s="301">
        <v>0.3901</v>
      </c>
      <c r="N495" s="301">
        <v>3.8368</v>
      </c>
      <c r="O495" s="301">
        <v>0.1624</v>
      </c>
      <c r="P495" s="301">
        <v>0.55</v>
      </c>
      <c r="R495" s="301">
        <v>2.5008</v>
      </c>
      <c r="S495" s="301">
        <v>0.5594</v>
      </c>
      <c r="U495" s="301">
        <v>0.4742</v>
      </c>
      <c r="V495" s="301">
        <v>0.5458</v>
      </c>
      <c r="W495" s="301">
        <v>0.9038</v>
      </c>
      <c r="X495" s="301">
        <v>2.0976</v>
      </c>
      <c r="Y495" s="301">
        <v>1.7721</v>
      </c>
      <c r="Z495" s="301">
        <v>1.1882</v>
      </c>
      <c r="AA495" s="301">
        <v>5.891</v>
      </c>
      <c r="AB495" s="301">
        <v>0.0773</v>
      </c>
      <c r="AC495" s="301">
        <v>0.2473</v>
      </c>
      <c r="AD495" s="301">
        <v>0.3641</v>
      </c>
      <c r="AE495" s="301">
        <v>1.5238</v>
      </c>
      <c r="AF495" s="301">
        <v>1.0352</v>
      </c>
      <c r="AG495" s="301">
        <v>0.1031</v>
      </c>
      <c r="AH495" s="301">
        <v>3.2676</v>
      </c>
      <c r="AI495" s="301">
        <v>0.2939</v>
      </c>
      <c r="AJ495" s="301">
        <v>0.5066</v>
      </c>
      <c r="AK495" s="301">
        <v>4.8591</v>
      </c>
      <c r="AL495">
        <v>240</v>
      </c>
      <c r="AM495" t="s">
        <v>413</v>
      </c>
    </row>
    <row r="496" spans="1:39" ht="15">
      <c r="A496" s="470">
        <v>41255</v>
      </c>
      <c r="B496" s="301">
        <v>0.1027</v>
      </c>
      <c r="C496" s="301">
        <v>3.1459</v>
      </c>
      <c r="D496" s="301">
        <v>3.3185</v>
      </c>
      <c r="E496" s="301">
        <v>0.4059</v>
      </c>
      <c r="F496" s="301">
        <v>3.1917</v>
      </c>
      <c r="G496" s="301">
        <v>2.646</v>
      </c>
      <c r="H496" s="301">
        <v>2.5756</v>
      </c>
      <c r="I496" s="301">
        <v>4.0937</v>
      </c>
      <c r="J496" s="301">
        <v>1.4488</v>
      </c>
      <c r="K496" s="301">
        <v>3.3775</v>
      </c>
      <c r="L496" s="301">
        <v>5.0765</v>
      </c>
      <c r="M496" s="301">
        <v>0.3886</v>
      </c>
      <c r="N496" s="301">
        <v>3.7975</v>
      </c>
      <c r="O496" s="301">
        <v>0.1621</v>
      </c>
      <c r="P496" s="301">
        <v>0.5487</v>
      </c>
      <c r="R496" s="301">
        <v>2.4743</v>
      </c>
      <c r="S496" s="301">
        <v>0.5577</v>
      </c>
      <c r="U496" s="301">
        <v>0.4753</v>
      </c>
      <c r="V496" s="301">
        <v>0.5435</v>
      </c>
      <c r="W496" s="301">
        <v>0.9035</v>
      </c>
      <c r="X496" s="301">
        <v>2.0931</v>
      </c>
      <c r="Y496" s="301">
        <v>1.7677</v>
      </c>
      <c r="Z496" s="301">
        <v>1.1856</v>
      </c>
      <c r="AA496" s="301">
        <v>5.8792</v>
      </c>
      <c r="AB496" s="301">
        <v>0.0767</v>
      </c>
      <c r="AC496" s="301">
        <v>0.2472</v>
      </c>
      <c r="AD496" s="301">
        <v>0.3628</v>
      </c>
      <c r="AE496" s="301">
        <v>1.5134</v>
      </c>
      <c r="AF496" s="301">
        <v>1.031</v>
      </c>
      <c r="AG496" s="301">
        <v>0.1025</v>
      </c>
      <c r="AH496" s="301">
        <v>3.2528</v>
      </c>
      <c r="AI496" s="301">
        <v>0.293</v>
      </c>
      <c r="AJ496" s="301">
        <v>0.5033</v>
      </c>
      <c r="AK496" s="301">
        <v>4.8361</v>
      </c>
      <c r="AL496">
        <v>241</v>
      </c>
      <c r="AM496" t="s">
        <v>413</v>
      </c>
    </row>
    <row r="497" spans="1:39" ht="15">
      <c r="A497" s="470">
        <v>41256</v>
      </c>
      <c r="B497" s="301">
        <v>0.1022</v>
      </c>
      <c r="C497" s="301">
        <v>3.1333</v>
      </c>
      <c r="D497" s="301">
        <v>3.305</v>
      </c>
      <c r="E497" s="301">
        <v>0.4042</v>
      </c>
      <c r="F497" s="301">
        <v>3.1867</v>
      </c>
      <c r="G497" s="301">
        <v>2.6443</v>
      </c>
      <c r="H497" s="301">
        <v>2.5652</v>
      </c>
      <c r="I497" s="301">
        <v>4.0927</v>
      </c>
      <c r="J497" s="301">
        <v>1.4442</v>
      </c>
      <c r="K497" s="301">
        <v>3.3834</v>
      </c>
      <c r="L497" s="301">
        <v>5.0515</v>
      </c>
      <c r="M497" s="301">
        <v>0.3861</v>
      </c>
      <c r="N497" s="301">
        <v>3.7591</v>
      </c>
      <c r="O497" s="301">
        <v>0.1617</v>
      </c>
      <c r="P497" s="301">
        <v>0.5486</v>
      </c>
      <c r="R497" s="301">
        <v>2.4707</v>
      </c>
      <c r="S497" s="301">
        <v>0.5573</v>
      </c>
      <c r="U497" s="301">
        <v>0.4701</v>
      </c>
      <c r="V497" s="301">
        <v>0.5445</v>
      </c>
      <c r="W497" s="301">
        <v>0.908</v>
      </c>
      <c r="X497" s="301">
        <v>2.0926</v>
      </c>
      <c r="Y497" s="301">
        <v>1.7604</v>
      </c>
      <c r="Z497" s="301">
        <v>1.1853</v>
      </c>
      <c r="AA497" s="301">
        <v>5.8769</v>
      </c>
      <c r="AB497" s="301">
        <v>0.0763</v>
      </c>
      <c r="AC497" s="301">
        <v>0.2457</v>
      </c>
      <c r="AD497" s="301">
        <v>0.3621</v>
      </c>
      <c r="AE497" s="301">
        <v>1.5121</v>
      </c>
      <c r="AF497" s="301">
        <v>1.0259</v>
      </c>
      <c r="AG497" s="301">
        <v>0.1021</v>
      </c>
      <c r="AH497" s="301">
        <v>3.2366</v>
      </c>
      <c r="AI497" s="301">
        <v>0.2921</v>
      </c>
      <c r="AJ497" s="301">
        <v>0.5027</v>
      </c>
      <c r="AK497" s="301">
        <v>4.8216</v>
      </c>
      <c r="AL497">
        <v>242</v>
      </c>
      <c r="AM497" t="s">
        <v>413</v>
      </c>
    </row>
    <row r="498" spans="1:39" ht="15">
      <c r="A498" s="470">
        <v>41257</v>
      </c>
      <c r="B498" s="301">
        <v>0.1021</v>
      </c>
      <c r="C498" s="301">
        <v>3.1271</v>
      </c>
      <c r="D498" s="301">
        <v>3.2943</v>
      </c>
      <c r="E498" s="301">
        <v>0.4035</v>
      </c>
      <c r="F498" s="301">
        <v>3.1776</v>
      </c>
      <c r="G498" s="301">
        <v>2.6324</v>
      </c>
      <c r="H498" s="301">
        <v>2.5599</v>
      </c>
      <c r="I498" s="301">
        <v>4.0912</v>
      </c>
      <c r="J498" s="301">
        <v>1.4417</v>
      </c>
      <c r="K498" s="301">
        <v>3.3847</v>
      </c>
      <c r="L498" s="301">
        <v>5.0431</v>
      </c>
      <c r="M498" s="301">
        <v>0.3849</v>
      </c>
      <c r="N498" s="301">
        <v>3.7306</v>
      </c>
      <c r="O498" s="301">
        <v>0.1621</v>
      </c>
      <c r="P498" s="301">
        <v>0.5483</v>
      </c>
      <c r="R498" s="301">
        <v>2.4713</v>
      </c>
      <c r="S498" s="301">
        <v>0.5556</v>
      </c>
      <c r="U498" s="301">
        <v>0.4681</v>
      </c>
      <c r="V498" s="301">
        <v>0.5439</v>
      </c>
      <c r="W498" s="301">
        <v>0.9146</v>
      </c>
      <c r="X498" s="301">
        <v>2.0918</v>
      </c>
      <c r="Y498" s="301">
        <v>1.7546</v>
      </c>
      <c r="Z498" s="301">
        <v>1.1849</v>
      </c>
      <c r="AA498" s="301">
        <v>5.8769</v>
      </c>
      <c r="AB498" s="301">
        <v>0.076</v>
      </c>
      <c r="AC498" s="301">
        <v>0.2441</v>
      </c>
      <c r="AD498" s="301">
        <v>0.3604</v>
      </c>
      <c r="AE498" s="301">
        <v>1.4994</v>
      </c>
      <c r="AF498" s="301">
        <v>1.0229</v>
      </c>
      <c r="AG498" s="301">
        <v>0.1016</v>
      </c>
      <c r="AH498" s="301">
        <v>3.2303</v>
      </c>
      <c r="AI498" s="301">
        <v>0.2909</v>
      </c>
      <c r="AJ498" s="301">
        <v>0.5009</v>
      </c>
      <c r="AK498" s="301">
        <v>4.8075</v>
      </c>
      <c r="AL498">
        <v>243</v>
      </c>
      <c r="AM498" t="s">
        <v>413</v>
      </c>
    </row>
    <row r="499" spans="1:39" ht="15">
      <c r="A499" s="470">
        <v>41260</v>
      </c>
      <c r="B499" s="301">
        <v>0.1014</v>
      </c>
      <c r="C499" s="301">
        <v>3.1035</v>
      </c>
      <c r="D499" s="301">
        <v>3.2699</v>
      </c>
      <c r="E499" s="301">
        <v>0.4005</v>
      </c>
      <c r="F499" s="301">
        <v>3.1446</v>
      </c>
      <c r="G499" s="301">
        <v>2.6213</v>
      </c>
      <c r="H499" s="301">
        <v>2.5425</v>
      </c>
      <c r="I499" s="301">
        <v>4.0839</v>
      </c>
      <c r="J499" s="301">
        <v>1.4364</v>
      </c>
      <c r="K499" s="301">
        <v>3.3811</v>
      </c>
      <c r="L499" s="301">
        <v>5.026</v>
      </c>
      <c r="M499" s="301">
        <v>0.383</v>
      </c>
      <c r="N499" s="301">
        <v>3.7034</v>
      </c>
      <c r="O499" s="301">
        <v>0.1621</v>
      </c>
      <c r="P499" s="301">
        <v>0.5473</v>
      </c>
      <c r="R499" s="301">
        <v>2.4602</v>
      </c>
      <c r="S499" s="301">
        <v>0.5534</v>
      </c>
      <c r="U499" s="301">
        <v>0.4663</v>
      </c>
      <c r="V499" s="301">
        <v>0.5415</v>
      </c>
      <c r="W499" s="301">
        <v>0.9138</v>
      </c>
      <c r="X499" s="301">
        <v>2.0881</v>
      </c>
      <c r="Y499" s="301">
        <v>1.7397</v>
      </c>
      <c r="Z499" s="301">
        <v>1.1828</v>
      </c>
      <c r="AA499" s="301">
        <v>5.8651</v>
      </c>
      <c r="AB499" s="301">
        <v>0.0756</v>
      </c>
      <c r="AC499" s="301">
        <v>0.243</v>
      </c>
      <c r="AD499" s="301">
        <v>0.3612</v>
      </c>
      <c r="AE499" s="301">
        <v>1.4882</v>
      </c>
      <c r="AF499" s="301">
        <v>1.0151</v>
      </c>
      <c r="AG499" s="301">
        <v>0.1009</v>
      </c>
      <c r="AH499" s="301">
        <v>3.1993</v>
      </c>
      <c r="AI499" s="301">
        <v>0.2894</v>
      </c>
      <c r="AJ499" s="301">
        <v>0.4976</v>
      </c>
      <c r="AK499" s="301">
        <v>4.7984</v>
      </c>
      <c r="AL499">
        <v>244</v>
      </c>
      <c r="AM499" t="s">
        <v>413</v>
      </c>
    </row>
    <row r="500" spans="1:39" ht="15">
      <c r="A500" s="470">
        <v>41261</v>
      </c>
      <c r="B500" s="301">
        <v>0.1015</v>
      </c>
      <c r="C500" s="301">
        <v>3.1044</v>
      </c>
      <c r="D500" s="301">
        <v>3.2723</v>
      </c>
      <c r="E500" s="301">
        <v>0.4005</v>
      </c>
      <c r="F500" s="301">
        <v>3.1546</v>
      </c>
      <c r="G500" s="301">
        <v>2.6184</v>
      </c>
      <c r="H500" s="301">
        <v>2.5469</v>
      </c>
      <c r="I500" s="301">
        <v>4.09</v>
      </c>
      <c r="J500" s="301">
        <v>1.4195</v>
      </c>
      <c r="K500" s="301">
        <v>3.386</v>
      </c>
      <c r="L500" s="301">
        <v>5.0357</v>
      </c>
      <c r="M500" s="301">
        <v>0.3837</v>
      </c>
      <c r="N500" s="301">
        <v>3.699</v>
      </c>
      <c r="O500" s="301">
        <v>0.1622</v>
      </c>
      <c r="P500" s="301">
        <v>0.5482</v>
      </c>
      <c r="R500" s="301">
        <v>2.4602</v>
      </c>
      <c r="S500" s="301">
        <v>0.5541</v>
      </c>
      <c r="U500" s="301">
        <v>0.4694</v>
      </c>
      <c r="V500" s="301">
        <v>0.5428</v>
      </c>
      <c r="W500" s="301">
        <v>0.9147</v>
      </c>
      <c r="X500" s="301">
        <v>2.0912</v>
      </c>
      <c r="Y500" s="301">
        <v>1.7436</v>
      </c>
      <c r="Z500" s="301">
        <v>1.1845</v>
      </c>
      <c r="AA500" s="301">
        <v>5.8731</v>
      </c>
      <c r="AB500" s="301">
        <v>0.0755</v>
      </c>
      <c r="AC500" s="301">
        <v>0.244</v>
      </c>
      <c r="AD500" s="301">
        <v>0.363</v>
      </c>
      <c r="AE500" s="301">
        <v>1.4788</v>
      </c>
      <c r="AF500" s="301">
        <v>1.0159</v>
      </c>
      <c r="AG500" s="301">
        <v>0.1004</v>
      </c>
      <c r="AH500" s="301">
        <v>3.2028</v>
      </c>
      <c r="AI500" s="301">
        <v>0.2893</v>
      </c>
      <c r="AJ500" s="301">
        <v>0.4981</v>
      </c>
      <c r="AK500" s="301">
        <v>4.7883</v>
      </c>
      <c r="AL500">
        <v>245</v>
      </c>
      <c r="AM500" t="s">
        <v>413</v>
      </c>
    </row>
    <row r="501" spans="1:39" ht="15">
      <c r="A501" s="470">
        <v>41262</v>
      </c>
      <c r="B501" s="301">
        <v>0.1003</v>
      </c>
      <c r="C501" s="301">
        <v>3.069</v>
      </c>
      <c r="D501" s="301">
        <v>3.2297</v>
      </c>
      <c r="E501" s="301">
        <v>0.396</v>
      </c>
      <c r="F501" s="301">
        <v>3.1142</v>
      </c>
      <c r="G501" s="301">
        <v>2.5773</v>
      </c>
      <c r="H501" s="301">
        <v>2.5182</v>
      </c>
      <c r="I501" s="301">
        <v>4.073</v>
      </c>
      <c r="J501" s="301">
        <v>1.4166</v>
      </c>
      <c r="K501" s="301">
        <v>3.3703</v>
      </c>
      <c r="L501" s="301">
        <v>5.0006</v>
      </c>
      <c r="M501" s="301">
        <v>0.3799</v>
      </c>
      <c r="N501" s="301">
        <v>3.6394</v>
      </c>
      <c r="O501" s="301">
        <v>0.1618</v>
      </c>
      <c r="P501" s="301">
        <v>0.546</v>
      </c>
      <c r="R501" s="301">
        <v>2.4477</v>
      </c>
      <c r="S501" s="301">
        <v>0.5519</v>
      </c>
      <c r="U501" s="301">
        <v>0.4681</v>
      </c>
      <c r="V501" s="301">
        <v>0.5406</v>
      </c>
      <c r="W501" s="301">
        <v>0.9097</v>
      </c>
      <c r="X501" s="301">
        <v>2.0825</v>
      </c>
      <c r="Y501" s="301">
        <v>1.7246</v>
      </c>
      <c r="Z501" s="301">
        <v>1.1796</v>
      </c>
      <c r="AA501" s="301">
        <v>5.8487</v>
      </c>
      <c r="AB501" s="301">
        <v>0.0748</v>
      </c>
      <c r="AC501" s="301">
        <v>0.2414</v>
      </c>
      <c r="AD501" s="301">
        <v>0.3618</v>
      </c>
      <c r="AE501" s="301">
        <v>1.4683</v>
      </c>
      <c r="AF501" s="301">
        <v>1.0052</v>
      </c>
      <c r="AG501" s="301">
        <v>0.0999</v>
      </c>
      <c r="AH501" s="301">
        <v>3.1895</v>
      </c>
      <c r="AI501" s="301">
        <v>0.2861</v>
      </c>
      <c r="AJ501" s="301">
        <v>0.4927</v>
      </c>
      <c r="AK501" s="301">
        <v>4.7648</v>
      </c>
      <c r="AL501">
        <v>246</v>
      </c>
      <c r="AM501" t="s">
        <v>413</v>
      </c>
    </row>
    <row r="502" spans="1:39" ht="15">
      <c r="A502" s="470">
        <v>41263</v>
      </c>
      <c r="B502" s="301">
        <v>0.1005</v>
      </c>
      <c r="C502" s="301">
        <v>3.0769</v>
      </c>
      <c r="D502" s="301">
        <v>3.2281</v>
      </c>
      <c r="E502" s="301">
        <v>0.397</v>
      </c>
      <c r="F502" s="301">
        <v>3.1112</v>
      </c>
      <c r="G502" s="301">
        <v>2.5701</v>
      </c>
      <c r="H502" s="301">
        <v>2.5247</v>
      </c>
      <c r="I502" s="301">
        <v>4.0715</v>
      </c>
      <c r="J502" s="301">
        <v>1.4232</v>
      </c>
      <c r="K502" s="301">
        <v>3.3716</v>
      </c>
      <c r="L502" s="301">
        <v>5.0037</v>
      </c>
      <c r="M502" s="301">
        <v>0.3803</v>
      </c>
      <c r="N502" s="301">
        <v>3.6642</v>
      </c>
      <c r="O502" s="301">
        <v>0.1615</v>
      </c>
      <c r="P502" s="301">
        <v>0.5458</v>
      </c>
      <c r="R502" s="301">
        <v>2.452</v>
      </c>
      <c r="S502" s="301">
        <v>0.5519</v>
      </c>
      <c r="U502" s="301">
        <v>0.47</v>
      </c>
      <c r="V502" s="301">
        <v>0.5404</v>
      </c>
      <c r="W502" s="301">
        <v>0.9099</v>
      </c>
      <c r="X502" s="301">
        <v>2.0818</v>
      </c>
      <c r="Y502" s="301">
        <v>1.7232</v>
      </c>
      <c r="Z502" s="301">
        <v>1.1792</v>
      </c>
      <c r="AA502" s="301">
        <v>5.8457</v>
      </c>
      <c r="AB502" s="301">
        <v>0.0749</v>
      </c>
      <c r="AC502" s="301">
        <v>0.2408</v>
      </c>
      <c r="AD502" s="301">
        <v>0.3614</v>
      </c>
      <c r="AE502" s="301">
        <v>1.4852</v>
      </c>
      <c r="AF502" s="301">
        <v>1.007</v>
      </c>
      <c r="AG502" s="301">
        <v>0.1001</v>
      </c>
      <c r="AH502" s="301">
        <v>3.1574</v>
      </c>
      <c r="AI502" s="301">
        <v>0.2863</v>
      </c>
      <c r="AJ502" s="301">
        <v>0.4939</v>
      </c>
      <c r="AK502" s="301">
        <v>4.7306</v>
      </c>
      <c r="AL502">
        <v>247</v>
      </c>
      <c r="AM502" t="s">
        <v>413</v>
      </c>
    </row>
    <row r="503" spans="1:39" ht="15">
      <c r="A503" s="470">
        <v>41264</v>
      </c>
      <c r="B503" s="301">
        <v>0.1006</v>
      </c>
      <c r="C503" s="301">
        <v>3.0791</v>
      </c>
      <c r="D503" s="301">
        <v>3.2092</v>
      </c>
      <c r="E503" s="301">
        <v>0.3972</v>
      </c>
      <c r="F503" s="301">
        <v>3.1075</v>
      </c>
      <c r="G503" s="301">
        <v>2.5392</v>
      </c>
      <c r="H503" s="301">
        <v>2.5238</v>
      </c>
      <c r="I503" s="301">
        <v>4.0643</v>
      </c>
      <c r="J503" s="301">
        <v>1.4177</v>
      </c>
      <c r="K503" s="301">
        <v>3.3657</v>
      </c>
      <c r="L503" s="301">
        <v>5.0016</v>
      </c>
      <c r="M503" s="301">
        <v>0.3807</v>
      </c>
      <c r="N503" s="301">
        <v>3.6622</v>
      </c>
      <c r="O503" s="301">
        <v>0.1612</v>
      </c>
      <c r="P503" s="301">
        <v>0.5447</v>
      </c>
      <c r="R503" s="301">
        <v>2.4344</v>
      </c>
      <c r="S503" s="301">
        <v>0.5524</v>
      </c>
      <c r="U503" s="301">
        <v>0.472</v>
      </c>
      <c r="V503" s="301">
        <v>0.5393</v>
      </c>
      <c r="W503" s="301">
        <v>0.9149</v>
      </c>
      <c r="X503" s="301">
        <v>2.0781</v>
      </c>
      <c r="Y503" s="301">
        <v>1.7149</v>
      </c>
      <c r="Z503" s="301">
        <v>1.1771</v>
      </c>
      <c r="AA503" s="301">
        <v>5.8362</v>
      </c>
      <c r="AB503" s="301">
        <v>0.0748</v>
      </c>
      <c r="AC503" s="301">
        <v>0.2394</v>
      </c>
      <c r="AD503" s="301">
        <v>0.359</v>
      </c>
      <c r="AE503" s="301">
        <v>1.4877</v>
      </c>
      <c r="AF503" s="301">
        <v>1.0061</v>
      </c>
      <c r="AG503" s="301">
        <v>0.1001</v>
      </c>
      <c r="AH503" s="301">
        <v>3.1827</v>
      </c>
      <c r="AI503" s="301">
        <v>0.2864</v>
      </c>
      <c r="AJ503" s="301">
        <v>0.4943</v>
      </c>
      <c r="AK503" s="301">
        <v>4.7413</v>
      </c>
      <c r="AL503">
        <v>248</v>
      </c>
      <c r="AM503" t="s">
        <v>413</v>
      </c>
    </row>
    <row r="504" spans="1:39" ht="15">
      <c r="A504" s="470">
        <v>41267</v>
      </c>
      <c r="B504" s="301">
        <v>0.1006</v>
      </c>
      <c r="C504" s="301">
        <v>3.08</v>
      </c>
      <c r="D504" s="301">
        <v>3.2039</v>
      </c>
      <c r="E504" s="301">
        <v>0.3974</v>
      </c>
      <c r="F504" s="301">
        <v>3.1016</v>
      </c>
      <c r="G504" s="301">
        <v>2.5345</v>
      </c>
      <c r="H504" s="301">
        <v>2.5242</v>
      </c>
      <c r="I504" s="301">
        <v>4.0696</v>
      </c>
      <c r="J504" s="301">
        <v>1.4057</v>
      </c>
      <c r="K504" s="301">
        <v>3.3705</v>
      </c>
      <c r="L504" s="301">
        <v>4.986</v>
      </c>
      <c r="M504" s="301">
        <v>0.3818</v>
      </c>
      <c r="N504" s="301">
        <v>3.6484</v>
      </c>
      <c r="O504" s="301">
        <v>0.162</v>
      </c>
      <c r="P504" s="301">
        <v>0.5455</v>
      </c>
      <c r="R504" s="301">
        <v>2.4224</v>
      </c>
      <c r="S504" s="301">
        <v>0.5536</v>
      </c>
      <c r="U504" s="301">
        <v>0.472</v>
      </c>
      <c r="V504" s="301">
        <v>0.5392</v>
      </c>
      <c r="W504" s="301">
        <v>0.9203</v>
      </c>
      <c r="X504" s="301">
        <v>2.0808</v>
      </c>
      <c r="Y504" s="301">
        <v>1.7146</v>
      </c>
      <c r="Z504" s="301">
        <v>1.1786</v>
      </c>
      <c r="AA504" s="301">
        <v>5.8429</v>
      </c>
      <c r="AB504" s="301">
        <v>0.0749</v>
      </c>
      <c r="AC504" s="301">
        <v>0.2377</v>
      </c>
      <c r="AD504" s="301">
        <v>0.3593</v>
      </c>
      <c r="AE504" s="301">
        <v>1.482</v>
      </c>
      <c r="AF504" s="301">
        <v>1.0049</v>
      </c>
      <c r="AG504" s="301">
        <v>0.1005</v>
      </c>
      <c r="AH504" s="301">
        <v>3.1547</v>
      </c>
      <c r="AI504" s="301">
        <v>0.2869</v>
      </c>
      <c r="AJ504" s="301">
        <v>0.4941</v>
      </c>
      <c r="AK504" s="301">
        <v>4.7522</v>
      </c>
      <c r="AL504">
        <v>249</v>
      </c>
      <c r="AM504" t="s">
        <v>413</v>
      </c>
    </row>
    <row r="505" spans="1:39" ht="15">
      <c r="A505" s="470">
        <v>41270</v>
      </c>
      <c r="B505" s="301">
        <v>0.1005</v>
      </c>
      <c r="C505" s="301">
        <v>3.0816</v>
      </c>
      <c r="D505" s="301">
        <v>3.1977</v>
      </c>
      <c r="E505" s="301">
        <v>0.3975</v>
      </c>
      <c r="F505" s="301">
        <v>3.1076</v>
      </c>
      <c r="G505" s="301">
        <v>2.5302</v>
      </c>
      <c r="H505" s="301">
        <v>2.5216</v>
      </c>
      <c r="I505" s="301">
        <v>4.0899</v>
      </c>
      <c r="J505" s="301">
        <v>1.3933</v>
      </c>
      <c r="K505" s="301">
        <v>3.3839</v>
      </c>
      <c r="L505" s="301">
        <v>4.9828</v>
      </c>
      <c r="M505" s="301">
        <v>0.3832</v>
      </c>
      <c r="N505" s="301">
        <v>3.5938</v>
      </c>
      <c r="O505" s="301">
        <v>0.1628</v>
      </c>
      <c r="P505" s="301">
        <v>0.5483</v>
      </c>
      <c r="R505" s="301">
        <v>2.4251</v>
      </c>
      <c r="S505" s="301">
        <v>0.5534</v>
      </c>
      <c r="U505" s="301">
        <v>0.4738</v>
      </c>
      <c r="V505" s="301">
        <v>0.5415</v>
      </c>
      <c r="W505" s="301">
        <v>0.9232</v>
      </c>
      <c r="X505" s="301">
        <v>2.0912</v>
      </c>
      <c r="Y505" s="301">
        <v>1.7208</v>
      </c>
      <c r="Z505" s="301">
        <v>1.1845</v>
      </c>
      <c r="AA505" s="301">
        <v>5.8704</v>
      </c>
      <c r="AB505" s="301">
        <v>0.0749</v>
      </c>
      <c r="AC505" s="301">
        <v>0.2376</v>
      </c>
      <c r="AD505" s="301">
        <v>0.3615</v>
      </c>
      <c r="AE505" s="301">
        <v>1.5044</v>
      </c>
      <c r="AF505" s="301">
        <v>1.0069</v>
      </c>
      <c r="AG505" s="301">
        <v>0.1009</v>
      </c>
      <c r="AH505" s="301">
        <v>3.1656</v>
      </c>
      <c r="AI505" s="301">
        <v>0.2875</v>
      </c>
      <c r="AJ505" s="301">
        <v>0.4942</v>
      </c>
      <c r="AK505" s="301">
        <v>4.7759</v>
      </c>
      <c r="AL505">
        <v>250</v>
      </c>
      <c r="AM505" t="s">
        <v>413</v>
      </c>
    </row>
    <row r="506" spans="1:39" ht="15">
      <c r="A506" s="470">
        <v>41271</v>
      </c>
      <c r="B506" s="301">
        <v>0.1009</v>
      </c>
      <c r="C506" s="301">
        <v>3.0893</v>
      </c>
      <c r="D506" s="301">
        <v>3.2062</v>
      </c>
      <c r="E506" s="301">
        <v>0.3986</v>
      </c>
      <c r="F506" s="301">
        <v>3.1052</v>
      </c>
      <c r="G506" s="301">
        <v>2.5389</v>
      </c>
      <c r="H506" s="301">
        <v>2.5258</v>
      </c>
      <c r="I506" s="301">
        <v>4.0745</v>
      </c>
      <c r="J506" s="301">
        <v>1.399</v>
      </c>
      <c r="K506" s="301">
        <v>3.3725</v>
      </c>
      <c r="L506" s="301">
        <v>4.9698</v>
      </c>
      <c r="M506" s="301">
        <v>0.3812</v>
      </c>
      <c r="N506" s="301">
        <v>3.5935</v>
      </c>
      <c r="O506" s="301">
        <v>0.1626</v>
      </c>
      <c r="P506" s="301">
        <v>0.5462</v>
      </c>
      <c r="R506" s="301">
        <v>2.401</v>
      </c>
      <c r="S506" s="301">
        <v>0.552</v>
      </c>
      <c r="U506" s="301">
        <v>0.4735</v>
      </c>
      <c r="V506" s="301">
        <v>0.5395</v>
      </c>
      <c r="W506" s="301">
        <v>0.9191</v>
      </c>
      <c r="X506" s="301">
        <v>2.0833</v>
      </c>
      <c r="Y506" s="301">
        <v>1.7241</v>
      </c>
      <c r="Z506" s="301">
        <v>1.1801</v>
      </c>
      <c r="AA506" s="301">
        <v>5.8399</v>
      </c>
      <c r="AB506" s="301">
        <v>0.0753</v>
      </c>
      <c r="AC506" s="301">
        <v>0.2379</v>
      </c>
      <c r="AD506" s="301">
        <v>0.3631</v>
      </c>
      <c r="AE506" s="301">
        <v>1.5131</v>
      </c>
      <c r="AF506" s="301">
        <v>1.009</v>
      </c>
      <c r="AG506" s="301">
        <v>0.1016</v>
      </c>
      <c r="AH506" s="301">
        <v>3.1659</v>
      </c>
      <c r="AI506" s="301">
        <v>0.2894</v>
      </c>
      <c r="AJ506" s="301">
        <v>0.4958</v>
      </c>
      <c r="AK506" s="301">
        <v>4.7345</v>
      </c>
      <c r="AL506">
        <v>251</v>
      </c>
      <c r="AM506" t="s">
        <v>413</v>
      </c>
    </row>
    <row r="507" spans="1:39" ht="15">
      <c r="A507" s="470">
        <v>41274</v>
      </c>
      <c r="B507" s="301">
        <v>0.1013</v>
      </c>
      <c r="C507" s="301">
        <v>3.0996</v>
      </c>
      <c r="D507" s="301">
        <v>3.2183</v>
      </c>
      <c r="E507" s="301">
        <v>0.3999</v>
      </c>
      <c r="F507" s="301">
        <v>3.1172</v>
      </c>
      <c r="G507" s="301">
        <v>2.5488</v>
      </c>
      <c r="H507" s="301">
        <v>2.5378</v>
      </c>
      <c r="I507" s="301">
        <v>4.0882</v>
      </c>
      <c r="J507" s="301">
        <v>1.3977</v>
      </c>
      <c r="K507" s="301">
        <v>3.3868</v>
      </c>
      <c r="L507" s="301">
        <v>5.0119</v>
      </c>
      <c r="M507" s="301">
        <v>0.3825</v>
      </c>
      <c r="N507" s="301">
        <v>3.6005</v>
      </c>
      <c r="O507" s="301">
        <v>0.163</v>
      </c>
      <c r="P507" s="301">
        <v>0.548</v>
      </c>
      <c r="R507" s="301">
        <v>2.3992</v>
      </c>
      <c r="S507" s="301">
        <v>0.5552</v>
      </c>
      <c r="U507" s="301">
        <v>0.4757</v>
      </c>
      <c r="V507" s="301">
        <v>0.5413</v>
      </c>
      <c r="W507" s="301">
        <v>0.9197</v>
      </c>
      <c r="X507" s="301">
        <v>2.0903</v>
      </c>
      <c r="Y507" s="301">
        <v>1.7357</v>
      </c>
      <c r="Z507" s="301">
        <v>1.184</v>
      </c>
      <c r="AA507" s="301">
        <v>5.8595</v>
      </c>
      <c r="AB507" s="301">
        <v>0.0756</v>
      </c>
      <c r="AC507" s="301">
        <v>0.238</v>
      </c>
      <c r="AD507" s="301">
        <v>0.3651</v>
      </c>
      <c r="AE507" s="301">
        <v>1.5138</v>
      </c>
      <c r="AF507" s="301">
        <v>1.0136</v>
      </c>
      <c r="AG507" s="301">
        <v>0.1017</v>
      </c>
      <c r="AH507" s="301">
        <v>3.1765</v>
      </c>
      <c r="AI507" s="301">
        <v>0.2914</v>
      </c>
      <c r="AJ507" s="301">
        <v>0.4975</v>
      </c>
      <c r="AK507" s="301">
        <v>4.7662</v>
      </c>
      <c r="AL507">
        <v>252</v>
      </c>
      <c r="AM507" t="s">
        <v>426</v>
      </c>
    </row>
    <row r="508" spans="1:39" ht="15">
      <c r="A508" s="470">
        <v>41276</v>
      </c>
      <c r="B508" s="301">
        <v>0.1009</v>
      </c>
      <c r="C508" s="301">
        <v>3.066</v>
      </c>
      <c r="D508" s="301">
        <v>3.2141</v>
      </c>
      <c r="E508" s="301">
        <v>0.3955</v>
      </c>
      <c r="F508" s="301">
        <v>3.1109</v>
      </c>
      <c r="G508" s="301">
        <v>2.5693</v>
      </c>
      <c r="H508" s="301">
        <v>2.512</v>
      </c>
      <c r="I508" s="301">
        <v>4.0671</v>
      </c>
      <c r="J508" s="301">
        <v>1.3883</v>
      </c>
      <c r="K508" s="301">
        <v>3.3647</v>
      </c>
      <c r="L508" s="301">
        <v>5.0026</v>
      </c>
      <c r="M508" s="301">
        <v>0.3805</v>
      </c>
      <c r="N508" s="301">
        <v>3.5205</v>
      </c>
      <c r="O508" s="301">
        <v>0.1616</v>
      </c>
      <c r="P508" s="301">
        <v>0.5452</v>
      </c>
      <c r="R508" s="301">
        <v>2.4059</v>
      </c>
      <c r="S508" s="301">
        <v>0.5552</v>
      </c>
      <c r="U508" s="301">
        <v>0.4752</v>
      </c>
      <c r="V508" s="301">
        <v>0.5375</v>
      </c>
      <c r="W508" s="301">
        <v>0.9165</v>
      </c>
      <c r="X508" s="301">
        <v>2.0795</v>
      </c>
      <c r="Y508" s="301">
        <v>1.723</v>
      </c>
      <c r="Z508" s="301">
        <v>1.1779</v>
      </c>
      <c r="AA508" s="301">
        <v>5.8268</v>
      </c>
      <c r="AB508" s="301">
        <v>0.075</v>
      </c>
      <c r="AC508" s="301">
        <v>0.2399</v>
      </c>
      <c r="AD508" s="301">
        <v>0.3623</v>
      </c>
      <c r="AE508" s="301">
        <v>1.4967</v>
      </c>
      <c r="AF508" s="301">
        <v>1.01</v>
      </c>
      <c r="AG508" s="301">
        <v>0.1014</v>
      </c>
      <c r="AH508" s="301">
        <v>3.1491</v>
      </c>
      <c r="AI508" s="301">
        <v>0.2883</v>
      </c>
      <c r="AJ508" s="301">
        <v>0.4921</v>
      </c>
      <c r="AK508" s="301">
        <v>4.7416</v>
      </c>
      <c r="AL508">
        <v>1</v>
      </c>
      <c r="AM508" t="s">
        <v>426</v>
      </c>
    </row>
    <row r="509" spans="1:39" ht="15">
      <c r="A509" s="470">
        <v>41277</v>
      </c>
      <c r="B509" s="301">
        <v>0.1022</v>
      </c>
      <c r="C509" s="301">
        <v>3.1005</v>
      </c>
      <c r="D509" s="301">
        <v>3.2581</v>
      </c>
      <c r="E509" s="301">
        <v>0.4001</v>
      </c>
      <c r="F509" s="301">
        <v>3.148</v>
      </c>
      <c r="G509" s="301">
        <v>2.5854</v>
      </c>
      <c r="H509" s="301">
        <v>2.5375</v>
      </c>
      <c r="I509" s="301">
        <v>4.077</v>
      </c>
      <c r="J509" s="301">
        <v>1.3999</v>
      </c>
      <c r="K509" s="301">
        <v>3.3717</v>
      </c>
      <c r="L509" s="301">
        <v>5.0296</v>
      </c>
      <c r="M509" s="301">
        <v>0.387</v>
      </c>
      <c r="N509" s="301">
        <v>3.559</v>
      </c>
      <c r="O509" s="301">
        <v>0.1614</v>
      </c>
      <c r="P509" s="301">
        <v>0.5465</v>
      </c>
      <c r="R509" s="301">
        <v>2.4139</v>
      </c>
      <c r="S509" s="301">
        <v>0.558</v>
      </c>
      <c r="U509" s="301">
        <v>0.4769</v>
      </c>
      <c r="V509" s="301">
        <v>0.5388</v>
      </c>
      <c r="W509" s="301">
        <v>0.9231</v>
      </c>
      <c r="X509" s="301">
        <v>2.0846</v>
      </c>
      <c r="Y509" s="301">
        <v>1.7427</v>
      </c>
      <c r="Z509" s="301">
        <v>1.1808</v>
      </c>
      <c r="AA509" s="301">
        <v>5.8418</v>
      </c>
      <c r="AB509" s="301">
        <v>0.0761</v>
      </c>
      <c r="AC509" s="301">
        <v>0.2431</v>
      </c>
      <c r="AD509" s="301">
        <v>0.3626</v>
      </c>
      <c r="AE509" s="301">
        <v>1.5166</v>
      </c>
      <c r="AF509" s="301">
        <v>1.0229</v>
      </c>
      <c r="AG509" s="301">
        <v>0.1028</v>
      </c>
      <c r="AH509" s="301">
        <v>3.1568</v>
      </c>
      <c r="AI509" s="301">
        <v>0.2921</v>
      </c>
      <c r="AJ509" s="301">
        <v>0.4977</v>
      </c>
      <c r="AK509" s="301">
        <v>4.7349</v>
      </c>
      <c r="AL509">
        <v>2</v>
      </c>
      <c r="AM509" t="s">
        <v>426</v>
      </c>
    </row>
    <row r="510" spans="1:39" ht="15">
      <c r="A510" s="470">
        <v>41278</v>
      </c>
      <c r="B510" s="301">
        <v>0.1039</v>
      </c>
      <c r="C510" s="301">
        <v>3.17</v>
      </c>
      <c r="D510" s="301">
        <v>3.3038</v>
      </c>
      <c r="E510" s="301">
        <v>0.409</v>
      </c>
      <c r="F510" s="301">
        <v>3.2007</v>
      </c>
      <c r="G510" s="301">
        <v>2.6087</v>
      </c>
      <c r="H510" s="301">
        <v>2.5785</v>
      </c>
      <c r="I510" s="301">
        <v>4.1248</v>
      </c>
      <c r="J510" s="301">
        <v>1.4184</v>
      </c>
      <c r="K510" s="301">
        <v>3.4106</v>
      </c>
      <c r="L510" s="301">
        <v>5.0873</v>
      </c>
      <c r="M510" s="301">
        <v>0.3942</v>
      </c>
      <c r="N510" s="301">
        <v>3.5948</v>
      </c>
      <c r="O510" s="301">
        <v>0.1628</v>
      </c>
      <c r="P510" s="301">
        <v>0.553</v>
      </c>
      <c r="R510" s="301">
        <v>2.4422</v>
      </c>
      <c r="S510" s="301">
        <v>0.5663</v>
      </c>
      <c r="U510" s="301">
        <v>0.4843</v>
      </c>
      <c r="V510" s="301">
        <v>0.5443</v>
      </c>
      <c r="W510" s="301">
        <v>0.9318</v>
      </c>
      <c r="X510" s="301">
        <v>2.109</v>
      </c>
      <c r="Y510" s="301">
        <v>1.7721</v>
      </c>
      <c r="Z510" s="301">
        <v>1.1946</v>
      </c>
      <c r="AA510" s="301">
        <v>5.9111</v>
      </c>
      <c r="AB510" s="301">
        <v>0.0775</v>
      </c>
      <c r="AC510" s="301">
        <v>0.2474</v>
      </c>
      <c r="AD510" s="301">
        <v>0.3666</v>
      </c>
      <c r="AE510" s="301">
        <v>1.5485</v>
      </c>
      <c r="AF510" s="301">
        <v>1.0399</v>
      </c>
      <c r="AG510" s="301">
        <v>0.1041</v>
      </c>
      <c r="AH510" s="301">
        <v>3.1938</v>
      </c>
      <c r="AI510" s="301">
        <v>0.298</v>
      </c>
      <c r="AJ510" s="301">
        <v>0.5088</v>
      </c>
      <c r="AK510" s="301">
        <v>4.8281</v>
      </c>
      <c r="AL510">
        <v>3</v>
      </c>
      <c r="AM510" t="s">
        <v>426</v>
      </c>
    </row>
    <row r="511" spans="1:39" ht="15">
      <c r="A511" s="470">
        <v>41281</v>
      </c>
      <c r="B511" s="301">
        <v>0.1037</v>
      </c>
      <c r="C511" s="301">
        <v>3.1618</v>
      </c>
      <c r="D511" s="301">
        <v>3.318</v>
      </c>
      <c r="E511" s="301">
        <v>0.4079</v>
      </c>
      <c r="F511" s="301">
        <v>3.2031</v>
      </c>
      <c r="G511" s="301">
        <v>2.6357</v>
      </c>
      <c r="H511" s="301">
        <v>2.5676</v>
      </c>
      <c r="I511" s="301">
        <v>4.1218</v>
      </c>
      <c r="J511" s="301">
        <v>1.4169</v>
      </c>
      <c r="K511" s="301">
        <v>3.4094</v>
      </c>
      <c r="L511" s="301">
        <v>5.0767</v>
      </c>
      <c r="M511" s="301">
        <v>0.3941</v>
      </c>
      <c r="N511" s="301">
        <v>3.6022</v>
      </c>
      <c r="O511" s="301">
        <v>0.1619</v>
      </c>
      <c r="P511" s="301">
        <v>0.5525</v>
      </c>
      <c r="R511" s="301">
        <v>2.4411</v>
      </c>
      <c r="S511" s="301">
        <v>0.5636</v>
      </c>
      <c r="U511" s="301">
        <v>0.483</v>
      </c>
      <c r="V511" s="301">
        <v>0.5441</v>
      </c>
      <c r="W511" s="301">
        <v>0.9323</v>
      </c>
      <c r="X511" s="301">
        <v>2.1075</v>
      </c>
      <c r="Y511" s="301">
        <v>1.7743</v>
      </c>
      <c r="Z511" s="301">
        <v>1.1937</v>
      </c>
      <c r="AA511" s="301">
        <v>5.9111</v>
      </c>
      <c r="AB511" s="301">
        <v>0.0773</v>
      </c>
      <c r="AC511" s="301">
        <v>0.2478</v>
      </c>
      <c r="AD511" s="301">
        <v>0.3677</v>
      </c>
      <c r="AE511" s="301">
        <v>1.5541</v>
      </c>
      <c r="AF511" s="301">
        <v>1.0389</v>
      </c>
      <c r="AG511" s="301">
        <v>0.1039</v>
      </c>
      <c r="AH511" s="301">
        <v>3.1915</v>
      </c>
      <c r="AI511" s="301">
        <v>0.2972</v>
      </c>
      <c r="AJ511" s="301">
        <v>0.5075</v>
      </c>
      <c r="AK511" s="301">
        <v>4.8304</v>
      </c>
      <c r="AL511">
        <v>4</v>
      </c>
      <c r="AM511" t="s">
        <v>426</v>
      </c>
    </row>
    <row r="512" spans="1:39" ht="15">
      <c r="A512" s="470">
        <v>41282</v>
      </c>
      <c r="B512" s="301">
        <v>0.1033</v>
      </c>
      <c r="C512" s="301">
        <v>3.1457</v>
      </c>
      <c r="D512" s="301">
        <v>3.301</v>
      </c>
      <c r="E512" s="301">
        <v>0.4064</v>
      </c>
      <c r="F512" s="301">
        <v>3.1922</v>
      </c>
      <c r="G512" s="301">
        <v>2.6301</v>
      </c>
      <c r="H512" s="301">
        <v>2.561</v>
      </c>
      <c r="I512" s="301">
        <v>4.1263</v>
      </c>
      <c r="J512" s="301">
        <v>1.4108</v>
      </c>
      <c r="K512" s="301">
        <v>3.4123</v>
      </c>
      <c r="L512" s="301">
        <v>5.0605</v>
      </c>
      <c r="M512" s="301">
        <v>0.3901</v>
      </c>
      <c r="N512" s="301">
        <v>3.5981</v>
      </c>
      <c r="O512" s="301">
        <v>0.1616</v>
      </c>
      <c r="P512" s="301">
        <v>0.5531</v>
      </c>
      <c r="R512" s="301">
        <v>2.443</v>
      </c>
      <c r="S512" s="301">
        <v>0.5631</v>
      </c>
      <c r="U512" s="301">
        <v>0.4818</v>
      </c>
      <c r="V512" s="301">
        <v>0.545</v>
      </c>
      <c r="W512" s="301">
        <v>0.936</v>
      </c>
      <c r="X512" s="301">
        <v>2.1098</v>
      </c>
      <c r="Y512" s="301">
        <v>1.7692</v>
      </c>
      <c r="Z512" s="301">
        <v>1.1951</v>
      </c>
      <c r="AA512" s="301">
        <v>5.9201</v>
      </c>
      <c r="AB512" s="301">
        <v>0.077</v>
      </c>
      <c r="AC512" s="301">
        <v>0.2466</v>
      </c>
      <c r="AD512" s="301">
        <v>0.3663</v>
      </c>
      <c r="AE512" s="301">
        <v>1.5511</v>
      </c>
      <c r="AF512" s="301">
        <v>1.034</v>
      </c>
      <c r="AG512" s="301">
        <v>0.104</v>
      </c>
      <c r="AH512" s="301">
        <v>3.2136</v>
      </c>
      <c r="AI512" s="301">
        <v>0.296</v>
      </c>
      <c r="AJ512" s="301">
        <v>0.5054</v>
      </c>
      <c r="AK512" s="301">
        <v>4.8332</v>
      </c>
      <c r="AL512">
        <v>5</v>
      </c>
      <c r="AM512" t="s">
        <v>426</v>
      </c>
    </row>
    <row r="513" spans="1:39" ht="15">
      <c r="A513" s="470">
        <v>41283</v>
      </c>
      <c r="B513" s="301">
        <v>0.1037</v>
      </c>
      <c r="C513" s="301">
        <v>3.1516</v>
      </c>
      <c r="D513" s="301">
        <v>3.3097</v>
      </c>
      <c r="E513" s="301">
        <v>0.4067</v>
      </c>
      <c r="F513" s="301">
        <v>3.1924</v>
      </c>
      <c r="G513" s="301">
        <v>2.6384</v>
      </c>
      <c r="H513" s="301">
        <v>2.5677</v>
      </c>
      <c r="I513" s="301">
        <v>4.1192</v>
      </c>
      <c r="J513" s="301">
        <v>1.4128</v>
      </c>
      <c r="K513" s="301">
        <v>3.4075</v>
      </c>
      <c r="L513" s="301">
        <v>5.0642</v>
      </c>
      <c r="M513" s="301">
        <v>0.3892</v>
      </c>
      <c r="N513" s="301">
        <v>3.6009</v>
      </c>
      <c r="O513" s="301">
        <v>0.1614</v>
      </c>
      <c r="P513" s="301">
        <v>0.5521</v>
      </c>
      <c r="R513" s="301">
        <v>2.4367</v>
      </c>
      <c r="S513" s="301">
        <v>0.562</v>
      </c>
      <c r="U513" s="301">
        <v>0.4795</v>
      </c>
      <c r="V513" s="301">
        <v>0.544</v>
      </c>
      <c r="W513" s="301">
        <v>0.9345</v>
      </c>
      <c r="X513" s="301">
        <v>2.1061</v>
      </c>
      <c r="Y513" s="301">
        <v>1.7728</v>
      </c>
      <c r="Z513" s="301">
        <v>1.193</v>
      </c>
      <c r="AA513" s="301">
        <v>5.9141</v>
      </c>
      <c r="AB513" s="301">
        <v>0.0773</v>
      </c>
      <c r="AC513" s="301">
        <v>0.2466</v>
      </c>
      <c r="AD513" s="301">
        <v>0.367</v>
      </c>
      <c r="AE513" s="301">
        <v>1.5436</v>
      </c>
      <c r="AF513" s="301">
        <v>1.0373</v>
      </c>
      <c r="AG513" s="301">
        <v>0.1036</v>
      </c>
      <c r="AH513" s="301">
        <v>3.2056</v>
      </c>
      <c r="AI513" s="301">
        <v>0.2971</v>
      </c>
      <c r="AJ513" s="301">
        <v>0.5062</v>
      </c>
      <c r="AK513" s="301">
        <v>4.8227</v>
      </c>
      <c r="AL513">
        <v>6</v>
      </c>
      <c r="AM513" t="s">
        <v>426</v>
      </c>
    </row>
    <row r="514" spans="1:39" ht="15">
      <c r="A514" s="470">
        <v>41284</v>
      </c>
      <c r="B514" s="301">
        <v>0.1027</v>
      </c>
      <c r="C514" s="301">
        <v>3.1121</v>
      </c>
      <c r="D514" s="301">
        <v>3.2905</v>
      </c>
      <c r="E514" s="301">
        <v>0.4014</v>
      </c>
      <c r="F514" s="301">
        <v>3.1565</v>
      </c>
      <c r="G514" s="301">
        <v>2.6206</v>
      </c>
      <c r="H514" s="301">
        <v>2.5391</v>
      </c>
      <c r="I514" s="301">
        <v>4.076</v>
      </c>
      <c r="J514" s="301">
        <v>1.4066</v>
      </c>
      <c r="K514" s="301">
        <v>3.3718</v>
      </c>
      <c r="L514" s="301">
        <v>4.9917</v>
      </c>
      <c r="M514" s="301">
        <v>0.3839</v>
      </c>
      <c r="N514" s="301">
        <v>3.5295</v>
      </c>
      <c r="O514" s="301">
        <v>0.1586</v>
      </c>
      <c r="P514" s="301">
        <v>0.5463</v>
      </c>
      <c r="R514" s="301">
        <v>2.4054</v>
      </c>
      <c r="S514" s="301">
        <v>0.5571</v>
      </c>
      <c r="U514" s="301">
        <v>0.4745</v>
      </c>
      <c r="V514" s="301">
        <v>0.5382</v>
      </c>
      <c r="W514" s="301">
        <v>0.9319</v>
      </c>
      <c r="X514" s="301">
        <v>2.0841</v>
      </c>
      <c r="Y514" s="301">
        <v>1.7539</v>
      </c>
      <c r="Z514" s="301">
        <v>1.1805</v>
      </c>
      <c r="AA514" s="301">
        <v>5.853</v>
      </c>
      <c r="AB514" s="301">
        <v>0.0766</v>
      </c>
      <c r="AC514" s="301">
        <v>0.2458</v>
      </c>
      <c r="AD514" s="301">
        <v>0.3614</v>
      </c>
      <c r="AE514" s="301">
        <v>1.5245</v>
      </c>
      <c r="AF514" s="301">
        <v>1.0271</v>
      </c>
      <c r="AG514" s="301">
        <v>0.1026</v>
      </c>
      <c r="AH514" s="301">
        <v>3.172</v>
      </c>
      <c r="AI514" s="301">
        <v>0.2937</v>
      </c>
      <c r="AJ514" s="301">
        <v>0.4998</v>
      </c>
      <c r="AK514" s="301">
        <v>4.7713</v>
      </c>
      <c r="AL514">
        <v>7</v>
      </c>
      <c r="AM514" t="s">
        <v>426</v>
      </c>
    </row>
    <row r="515" spans="1:39" ht="15">
      <c r="A515" s="470">
        <v>41285</v>
      </c>
      <c r="B515" s="301">
        <v>0.102</v>
      </c>
      <c r="C515" s="301">
        <v>3.089</v>
      </c>
      <c r="D515" s="301">
        <v>3.2634</v>
      </c>
      <c r="E515" s="301">
        <v>0.3984</v>
      </c>
      <c r="F515" s="301">
        <v>3.1418</v>
      </c>
      <c r="G515" s="301">
        <v>2.5989</v>
      </c>
      <c r="H515" s="301">
        <v>2.5207</v>
      </c>
      <c r="I515" s="301">
        <v>4.0996</v>
      </c>
      <c r="J515" s="301">
        <v>1.3878</v>
      </c>
      <c r="K515" s="301">
        <v>3.3693</v>
      </c>
      <c r="L515" s="301">
        <v>4.9783</v>
      </c>
      <c r="M515" s="301">
        <v>0.3796</v>
      </c>
      <c r="N515" s="301">
        <v>3.4739</v>
      </c>
      <c r="O515" s="301">
        <v>0.1598</v>
      </c>
      <c r="P515" s="301">
        <v>0.5494</v>
      </c>
      <c r="R515" s="301">
        <v>2.4038</v>
      </c>
      <c r="S515" s="301">
        <v>0.5576</v>
      </c>
      <c r="U515" s="301">
        <v>0.4748</v>
      </c>
      <c r="V515" s="301">
        <v>0.5414</v>
      </c>
      <c r="W515" s="301">
        <v>0.9375</v>
      </c>
      <c r="X515" s="301">
        <v>2.0961</v>
      </c>
      <c r="Y515" s="301">
        <v>1.7435</v>
      </c>
      <c r="Z515" s="301">
        <v>1.1873</v>
      </c>
      <c r="AA515" s="301">
        <v>5.8835</v>
      </c>
      <c r="AB515" s="301">
        <v>0.0761</v>
      </c>
      <c r="AC515" s="301">
        <v>0.2446</v>
      </c>
      <c r="AD515" s="301">
        <v>0.3559</v>
      </c>
      <c r="AE515" s="301">
        <v>1.5221</v>
      </c>
      <c r="AF515" s="301">
        <v>1.0226</v>
      </c>
      <c r="AG515" s="301">
        <v>0.102</v>
      </c>
      <c r="AH515" s="301">
        <v>3.1904</v>
      </c>
      <c r="AI515" s="301">
        <v>0.2928</v>
      </c>
      <c r="AJ515" s="301">
        <v>0.4969</v>
      </c>
      <c r="AK515" s="301">
        <v>4.7829</v>
      </c>
      <c r="AL515">
        <v>8</v>
      </c>
      <c r="AM515" t="s">
        <v>426</v>
      </c>
    </row>
    <row r="516" spans="1:39" ht="15">
      <c r="A516" s="470">
        <v>41288</v>
      </c>
      <c r="B516" s="301">
        <v>0.102</v>
      </c>
      <c r="C516" s="301">
        <v>3.0828</v>
      </c>
      <c r="D516" s="301">
        <v>3.2609</v>
      </c>
      <c r="E516" s="301">
        <v>0.3982</v>
      </c>
      <c r="F516" s="301">
        <v>3.1354</v>
      </c>
      <c r="G516" s="301">
        <v>2.5981</v>
      </c>
      <c r="H516" s="301">
        <v>2.5162</v>
      </c>
      <c r="I516" s="301">
        <v>4.1231</v>
      </c>
      <c r="J516" s="301">
        <v>1.3864</v>
      </c>
      <c r="K516" s="301">
        <v>3.3674</v>
      </c>
      <c r="L516" s="301">
        <v>4.9724</v>
      </c>
      <c r="M516" s="301">
        <v>0.3785</v>
      </c>
      <c r="N516" s="301">
        <v>3.4491</v>
      </c>
      <c r="O516" s="301">
        <v>0.1611</v>
      </c>
      <c r="P516" s="301">
        <v>0.5525</v>
      </c>
      <c r="R516" s="301">
        <v>2.4098</v>
      </c>
      <c r="S516" s="301">
        <v>0.559</v>
      </c>
      <c r="U516" s="301">
        <v>0.4774</v>
      </c>
      <c r="V516" s="301">
        <v>0.5446</v>
      </c>
      <c r="W516" s="301">
        <v>0.9417</v>
      </c>
      <c r="X516" s="301">
        <v>2.1081</v>
      </c>
      <c r="Y516" s="301">
        <v>1.7439</v>
      </c>
      <c r="Z516" s="301">
        <v>1.1941</v>
      </c>
      <c r="AA516" s="301">
        <v>5.9138</v>
      </c>
      <c r="AB516" s="301">
        <v>0.0758</v>
      </c>
      <c r="AC516" s="301">
        <v>0.2437</v>
      </c>
      <c r="AD516" s="301">
        <v>0.3547</v>
      </c>
      <c r="AE516" s="301">
        <v>1.5154</v>
      </c>
      <c r="AF516" s="301">
        <v>1.0219</v>
      </c>
      <c r="AG516" s="301">
        <v>0.102</v>
      </c>
      <c r="AH516" s="301">
        <v>3.2086</v>
      </c>
      <c r="AI516" s="301">
        <v>0.2919</v>
      </c>
      <c r="AJ516" s="301">
        <v>0.4957</v>
      </c>
      <c r="AK516" s="301">
        <v>4.7702</v>
      </c>
      <c r="AL516">
        <v>9</v>
      </c>
      <c r="AM516" t="s">
        <v>426</v>
      </c>
    </row>
    <row r="517" spans="1:39" ht="15">
      <c r="A517" s="470">
        <v>41289</v>
      </c>
      <c r="B517" s="301">
        <v>0.1024</v>
      </c>
      <c r="C517" s="301">
        <v>3.075</v>
      </c>
      <c r="D517" s="301">
        <v>3.2464</v>
      </c>
      <c r="E517" s="301">
        <v>0.3967</v>
      </c>
      <c r="F517" s="301">
        <v>3.1248</v>
      </c>
      <c r="G517" s="301">
        <v>2.5913</v>
      </c>
      <c r="H517" s="301">
        <v>2.5108</v>
      </c>
      <c r="I517" s="301">
        <v>4.1151</v>
      </c>
      <c r="J517" s="301">
        <v>1.4013</v>
      </c>
      <c r="K517" s="301">
        <v>3.333</v>
      </c>
      <c r="L517" s="301">
        <v>4.9478</v>
      </c>
      <c r="M517" s="301">
        <v>0.3875</v>
      </c>
      <c r="N517" s="301">
        <v>3.461</v>
      </c>
      <c r="O517" s="301">
        <v>0.1607</v>
      </c>
      <c r="P517" s="301">
        <v>0.5514</v>
      </c>
      <c r="R517" s="301">
        <v>2.4002</v>
      </c>
      <c r="S517" s="301">
        <v>0.5583</v>
      </c>
      <c r="U517" s="301">
        <v>0.4768</v>
      </c>
      <c r="V517" s="301">
        <v>0.5436</v>
      </c>
      <c r="W517" s="301">
        <v>0.938</v>
      </c>
      <c r="X517" s="301">
        <v>2.104</v>
      </c>
      <c r="Y517" s="301">
        <v>1.7374</v>
      </c>
      <c r="Z517" s="301">
        <v>1.1918</v>
      </c>
      <c r="AA517" s="301">
        <v>5.9015</v>
      </c>
      <c r="AB517" s="301">
        <v>0.0758</v>
      </c>
      <c r="AC517" s="301">
        <v>0.2434</v>
      </c>
      <c r="AD517" s="301">
        <v>0.3512</v>
      </c>
      <c r="AE517" s="301">
        <v>1.5125</v>
      </c>
      <c r="AF517" s="301">
        <v>1.0212</v>
      </c>
      <c r="AG517" s="301">
        <v>0.1019</v>
      </c>
      <c r="AH517" s="301">
        <v>3.2024</v>
      </c>
      <c r="AI517" s="301">
        <v>0.2911</v>
      </c>
      <c r="AJ517" s="301">
        <v>0.4949</v>
      </c>
      <c r="AK517" s="301">
        <v>4.7476</v>
      </c>
      <c r="AL517">
        <v>10</v>
      </c>
      <c r="AM517" t="s">
        <v>426</v>
      </c>
    </row>
    <row r="518" spans="1:39" ht="15">
      <c r="A518" s="470">
        <v>41290</v>
      </c>
      <c r="B518" s="301">
        <v>0.1041</v>
      </c>
      <c r="C518" s="301">
        <v>3.1097</v>
      </c>
      <c r="D518" s="301">
        <v>3.2755</v>
      </c>
      <c r="E518" s="301">
        <v>0.401</v>
      </c>
      <c r="F518" s="301">
        <v>3.1528</v>
      </c>
      <c r="G518" s="301">
        <v>2.6063</v>
      </c>
      <c r="H518" s="301">
        <v>2.5392</v>
      </c>
      <c r="I518" s="301">
        <v>4.128</v>
      </c>
      <c r="J518" s="301">
        <v>1.3983</v>
      </c>
      <c r="K518" s="301">
        <v>3.3437</v>
      </c>
      <c r="L518" s="301">
        <v>4.9822</v>
      </c>
      <c r="M518" s="301">
        <v>0.3826</v>
      </c>
      <c r="N518" s="301">
        <v>3.5317</v>
      </c>
      <c r="O518" s="301">
        <v>0.1615</v>
      </c>
      <c r="P518" s="301">
        <v>0.5532</v>
      </c>
      <c r="R518" s="301">
        <v>2.4091</v>
      </c>
      <c r="S518" s="301">
        <v>0.5564</v>
      </c>
      <c r="U518" s="301">
        <v>0.4765</v>
      </c>
      <c r="V518" s="301">
        <v>0.546</v>
      </c>
      <c r="W518" s="301">
        <v>0.9513</v>
      </c>
      <c r="X518" s="301">
        <v>2.1106</v>
      </c>
      <c r="Y518" s="301">
        <v>1.7558</v>
      </c>
      <c r="Z518" s="301">
        <v>1.1956</v>
      </c>
      <c r="AA518" s="301">
        <v>5.9183</v>
      </c>
      <c r="AB518" s="301">
        <v>0.0763</v>
      </c>
      <c r="AC518" s="301">
        <v>0.2456</v>
      </c>
      <c r="AD518" s="301">
        <v>0.3509</v>
      </c>
      <c r="AE518" s="301">
        <v>1.5265</v>
      </c>
      <c r="AF518" s="301">
        <v>1.0298</v>
      </c>
      <c r="AG518" s="301">
        <v>0.1024</v>
      </c>
      <c r="AH518" s="301">
        <v>3.2125</v>
      </c>
      <c r="AI518" s="301">
        <v>0.2934</v>
      </c>
      <c r="AJ518" s="301">
        <v>0.5001</v>
      </c>
      <c r="AK518" s="301">
        <v>4.7689</v>
      </c>
      <c r="AL518">
        <v>11</v>
      </c>
      <c r="AM518" t="s">
        <v>426</v>
      </c>
    </row>
    <row r="519" spans="1:39" ht="15">
      <c r="A519" s="470">
        <v>41291</v>
      </c>
      <c r="B519" s="301">
        <v>0.1036</v>
      </c>
      <c r="C519" s="301">
        <v>3.0853</v>
      </c>
      <c r="D519" s="301">
        <v>3.2458</v>
      </c>
      <c r="E519" s="301">
        <v>0.398</v>
      </c>
      <c r="F519" s="301">
        <v>3.1259</v>
      </c>
      <c r="G519" s="301">
        <v>2.5918</v>
      </c>
      <c r="H519" s="301">
        <v>2.5217</v>
      </c>
      <c r="I519" s="301">
        <v>4.1178</v>
      </c>
      <c r="J519" s="301">
        <v>1.4091</v>
      </c>
      <c r="K519" s="301">
        <v>3.3129</v>
      </c>
      <c r="L519" s="301">
        <v>4.941</v>
      </c>
      <c r="M519" s="301">
        <v>0.3805</v>
      </c>
      <c r="N519" s="301">
        <v>3.4611</v>
      </c>
      <c r="O519" s="301">
        <v>0.1612</v>
      </c>
      <c r="P519" s="301">
        <v>0.5518</v>
      </c>
      <c r="R519" s="301">
        <v>2.3969</v>
      </c>
      <c r="S519" s="301">
        <v>0.5558</v>
      </c>
      <c r="U519" s="301">
        <v>0.4757</v>
      </c>
      <c r="V519" s="301">
        <v>0.5445</v>
      </c>
      <c r="W519" s="301">
        <v>0.9503</v>
      </c>
      <c r="X519" s="301">
        <v>2.1054</v>
      </c>
      <c r="Y519" s="301">
        <v>1.7542</v>
      </c>
      <c r="Z519" s="301">
        <v>1.1926</v>
      </c>
      <c r="AA519" s="301">
        <v>5.9037</v>
      </c>
      <c r="AB519" s="301">
        <v>0.076</v>
      </c>
      <c r="AC519" s="301">
        <v>0.2448</v>
      </c>
      <c r="AD519" s="301">
        <v>0.3519</v>
      </c>
      <c r="AE519" s="301">
        <v>1.5103</v>
      </c>
      <c r="AF519" s="301">
        <v>1.0233</v>
      </c>
      <c r="AG519" s="301">
        <v>0.1019</v>
      </c>
      <c r="AH519" s="301">
        <v>3.212</v>
      </c>
      <c r="AI519" s="301">
        <v>0.2916</v>
      </c>
      <c r="AJ519" s="301">
        <v>0.4963</v>
      </c>
      <c r="AK519" s="301">
        <v>4.7707</v>
      </c>
      <c r="AL519">
        <v>12</v>
      </c>
      <c r="AM519" t="s">
        <v>426</v>
      </c>
    </row>
    <row r="520" spans="1:39" ht="15">
      <c r="A520" s="470">
        <v>41292</v>
      </c>
      <c r="B520" s="301">
        <v>0.1039</v>
      </c>
      <c r="C520" s="301">
        <v>3.0925</v>
      </c>
      <c r="D520" s="301">
        <v>3.2478</v>
      </c>
      <c r="E520" s="301">
        <v>0.3989</v>
      </c>
      <c r="F520" s="301">
        <v>3.126</v>
      </c>
      <c r="G520" s="301">
        <v>2.5824</v>
      </c>
      <c r="H520" s="301">
        <v>2.5218</v>
      </c>
      <c r="I520" s="301">
        <v>4.1294</v>
      </c>
      <c r="J520" s="301">
        <v>1.4109</v>
      </c>
      <c r="K520" s="301">
        <v>3.3067</v>
      </c>
      <c r="L520" s="301">
        <v>4.9286</v>
      </c>
      <c r="M520" s="301">
        <v>0.3804</v>
      </c>
      <c r="N520" s="301">
        <v>3.4396</v>
      </c>
      <c r="O520" s="301">
        <v>0.161</v>
      </c>
      <c r="P520" s="301">
        <v>0.5534</v>
      </c>
      <c r="R520" s="301">
        <v>2.4008</v>
      </c>
      <c r="S520" s="301">
        <v>0.555</v>
      </c>
      <c r="U520" s="301">
        <v>0.4761</v>
      </c>
      <c r="V520" s="301">
        <v>0.5458</v>
      </c>
      <c r="W520" s="301">
        <v>0.9519</v>
      </c>
      <c r="X520" s="301">
        <v>2.1114</v>
      </c>
      <c r="Y520" s="301">
        <v>1.7609</v>
      </c>
      <c r="Z520" s="301">
        <v>1.196</v>
      </c>
      <c r="AA520" s="301">
        <v>5.9203</v>
      </c>
      <c r="AB520" s="301">
        <v>0.0762</v>
      </c>
      <c r="AC520" s="301">
        <v>0.2453</v>
      </c>
      <c r="AD520" s="301">
        <v>0.349</v>
      </c>
      <c r="AE520" s="301">
        <v>1.517</v>
      </c>
      <c r="AF520" s="301">
        <v>1.0264</v>
      </c>
      <c r="AG520" s="301">
        <v>0.1022</v>
      </c>
      <c r="AH520" s="301">
        <v>3.2211</v>
      </c>
      <c r="AI520" s="301">
        <v>0.2923</v>
      </c>
      <c r="AJ520" s="301">
        <v>0.4976</v>
      </c>
      <c r="AK520" s="301">
        <v>4.7528</v>
      </c>
      <c r="AL520">
        <v>13</v>
      </c>
      <c r="AM520" t="s">
        <v>426</v>
      </c>
    </row>
    <row r="521" spans="1:39" ht="15">
      <c r="A521" s="470">
        <v>41295</v>
      </c>
      <c r="B521" s="301">
        <v>0.1054</v>
      </c>
      <c r="C521" s="301">
        <v>3.1351</v>
      </c>
      <c r="D521" s="301">
        <v>3.299</v>
      </c>
      <c r="E521" s="301">
        <v>0.4043</v>
      </c>
      <c r="F521" s="301">
        <v>3.159</v>
      </c>
      <c r="G521" s="301">
        <v>2.6216</v>
      </c>
      <c r="H521" s="301">
        <v>2.5489</v>
      </c>
      <c r="I521" s="301">
        <v>4.1762</v>
      </c>
      <c r="J521" s="301">
        <v>1.4272</v>
      </c>
      <c r="K521" s="301">
        <v>3.3648</v>
      </c>
      <c r="L521" s="301">
        <v>4.982</v>
      </c>
      <c r="M521" s="301">
        <v>0.3859</v>
      </c>
      <c r="N521" s="301">
        <v>3.5028</v>
      </c>
      <c r="O521" s="301">
        <v>0.1632</v>
      </c>
      <c r="P521" s="301">
        <v>0.5596</v>
      </c>
      <c r="R521" s="301">
        <v>2.4408</v>
      </c>
      <c r="S521" s="301">
        <v>0.5595</v>
      </c>
      <c r="U521" s="301">
        <v>0.4797</v>
      </c>
      <c r="V521" s="301">
        <v>0.5511</v>
      </c>
      <c r="W521" s="301">
        <v>0.9606</v>
      </c>
      <c r="X521" s="301">
        <v>2.1353</v>
      </c>
      <c r="Y521" s="301">
        <v>1.7798</v>
      </c>
      <c r="Z521" s="301">
        <v>1.2095</v>
      </c>
      <c r="AA521" s="301">
        <v>5.9857</v>
      </c>
      <c r="AB521" s="301">
        <v>0.077</v>
      </c>
      <c r="AC521" s="301">
        <v>0.2475</v>
      </c>
      <c r="AD521" s="301">
        <v>0.3532</v>
      </c>
      <c r="AE521" s="301">
        <v>1.5367</v>
      </c>
      <c r="AF521" s="301">
        <v>1.0332</v>
      </c>
      <c r="AG521" s="301">
        <v>0.1035</v>
      </c>
      <c r="AH521" s="301">
        <v>3.2576</v>
      </c>
      <c r="AI521" s="301">
        <v>0.2949</v>
      </c>
      <c r="AJ521" s="301">
        <v>0.5039</v>
      </c>
      <c r="AK521" s="301">
        <v>4.816</v>
      </c>
      <c r="AL521">
        <v>14</v>
      </c>
      <c r="AM521" t="s">
        <v>426</v>
      </c>
    </row>
    <row r="522" spans="1:39" ht="15">
      <c r="A522" s="470">
        <v>41296</v>
      </c>
      <c r="B522" s="301">
        <v>0.1053</v>
      </c>
      <c r="C522" s="301">
        <v>3.1341</v>
      </c>
      <c r="D522" s="301">
        <v>3.3118</v>
      </c>
      <c r="E522" s="301">
        <v>0.4048</v>
      </c>
      <c r="F522" s="301">
        <v>3.1562</v>
      </c>
      <c r="G522" s="301">
        <v>2.6377</v>
      </c>
      <c r="H522" s="301">
        <v>2.5555</v>
      </c>
      <c r="I522" s="301">
        <v>4.17</v>
      </c>
      <c r="J522" s="301">
        <v>1.4198</v>
      </c>
      <c r="K522" s="301">
        <v>3.3689</v>
      </c>
      <c r="L522" s="301">
        <v>4.9596</v>
      </c>
      <c r="M522" s="301">
        <v>0.3848</v>
      </c>
      <c r="N522" s="301">
        <v>3.5352</v>
      </c>
      <c r="O522" s="301">
        <v>0.1631</v>
      </c>
      <c r="P522" s="301">
        <v>0.5587</v>
      </c>
      <c r="R522" s="301">
        <v>2.4386</v>
      </c>
      <c r="S522" s="301">
        <v>0.5603</v>
      </c>
      <c r="U522" s="301">
        <v>0.4809</v>
      </c>
      <c r="V522" s="301">
        <v>0.5498</v>
      </c>
      <c r="W522" s="301">
        <v>0.9563</v>
      </c>
      <c r="X522" s="301">
        <v>2.1321</v>
      </c>
      <c r="Y522" s="301">
        <v>1.777</v>
      </c>
      <c r="Z522" s="301">
        <v>1.2077</v>
      </c>
      <c r="AA522" s="301">
        <v>5.9768</v>
      </c>
      <c r="AB522" s="301">
        <v>0.0771</v>
      </c>
      <c r="AC522" s="301">
        <v>0.2468</v>
      </c>
      <c r="AD522" s="301">
        <v>0.3546</v>
      </c>
      <c r="AE522" s="301">
        <v>1.5351</v>
      </c>
      <c r="AF522" s="301">
        <v>1.0302</v>
      </c>
      <c r="AG522" s="301">
        <v>0.1037</v>
      </c>
      <c r="AH522" s="301">
        <v>3.2527</v>
      </c>
      <c r="AI522" s="301">
        <v>0.2947</v>
      </c>
      <c r="AJ522" s="301">
        <v>0.5039</v>
      </c>
      <c r="AK522" s="301">
        <v>4.8089</v>
      </c>
      <c r="AL522">
        <v>15</v>
      </c>
      <c r="AM522" t="s">
        <v>426</v>
      </c>
    </row>
    <row r="523" spans="1:39" ht="15">
      <c r="A523" s="470">
        <v>41297</v>
      </c>
      <c r="B523" s="301">
        <v>0.1048</v>
      </c>
      <c r="C523" s="301">
        <v>3.1195</v>
      </c>
      <c r="D523" s="301">
        <v>3.2958</v>
      </c>
      <c r="E523" s="301">
        <v>0.4024</v>
      </c>
      <c r="F523" s="301">
        <v>3.1482</v>
      </c>
      <c r="G523" s="301">
        <v>2.6284</v>
      </c>
      <c r="H523" s="301">
        <v>2.5436</v>
      </c>
      <c r="I523" s="301">
        <v>4.1591</v>
      </c>
      <c r="J523" s="301">
        <v>1.4137</v>
      </c>
      <c r="K523" s="301">
        <v>3.3587</v>
      </c>
      <c r="L523" s="301">
        <v>4.9519</v>
      </c>
      <c r="M523" s="301">
        <v>0.3849</v>
      </c>
      <c r="N523" s="301">
        <v>3.532</v>
      </c>
      <c r="O523" s="301">
        <v>0.1624</v>
      </c>
      <c r="P523" s="301">
        <v>0.5573</v>
      </c>
      <c r="R523" s="301">
        <v>2.428</v>
      </c>
      <c r="S523" s="301">
        <v>0.5615</v>
      </c>
      <c r="U523" s="301">
        <v>0.4789</v>
      </c>
      <c r="V523" s="301">
        <v>0.5482</v>
      </c>
      <c r="W523" s="301">
        <v>0.953</v>
      </c>
      <c r="X523" s="301">
        <v>2.1265</v>
      </c>
      <c r="Y523" s="301">
        <v>1.7614</v>
      </c>
      <c r="Z523" s="301">
        <v>1.2046</v>
      </c>
      <c r="AA523" s="301">
        <v>5.9612</v>
      </c>
      <c r="AB523" s="301">
        <v>0.0768</v>
      </c>
      <c r="AC523" s="301">
        <v>0.2465</v>
      </c>
      <c r="AD523" s="301">
        <v>0.35</v>
      </c>
      <c r="AE523" s="301">
        <v>1.5264</v>
      </c>
      <c r="AF523" s="301">
        <v>1.0258</v>
      </c>
      <c r="AG523" s="301">
        <v>0.1034</v>
      </c>
      <c r="AH523" s="301">
        <v>3.2442</v>
      </c>
      <c r="AI523" s="301">
        <v>0.2929</v>
      </c>
      <c r="AJ523" s="301">
        <v>0.5017</v>
      </c>
      <c r="AK523" s="301">
        <v>4.8004</v>
      </c>
      <c r="AL523">
        <v>16</v>
      </c>
      <c r="AM523" t="s">
        <v>426</v>
      </c>
    </row>
    <row r="524" spans="1:39" ht="15">
      <c r="A524" s="470">
        <v>41298</v>
      </c>
      <c r="B524" s="301">
        <v>0.1058</v>
      </c>
      <c r="C524" s="301">
        <v>3.1503</v>
      </c>
      <c r="D524" s="301">
        <v>3.3104</v>
      </c>
      <c r="E524" s="301">
        <v>0.4063</v>
      </c>
      <c r="F524" s="301">
        <v>3.1526</v>
      </c>
      <c r="G524" s="301">
        <v>2.6518</v>
      </c>
      <c r="H524" s="301">
        <v>2.5662</v>
      </c>
      <c r="I524" s="301">
        <v>4.1964</v>
      </c>
      <c r="J524" s="301">
        <v>1.4225</v>
      </c>
      <c r="K524" s="301">
        <v>3.3857</v>
      </c>
      <c r="L524" s="301">
        <v>4.988</v>
      </c>
      <c r="M524" s="301">
        <v>0.3868</v>
      </c>
      <c r="N524" s="301">
        <v>3.5188</v>
      </c>
      <c r="O524" s="301">
        <v>0.1641</v>
      </c>
      <c r="P524" s="301">
        <v>0.5623</v>
      </c>
      <c r="R524" s="301">
        <v>2.4376</v>
      </c>
      <c r="S524" s="301">
        <v>0.5667</v>
      </c>
      <c r="U524" s="301">
        <v>0.484</v>
      </c>
      <c r="V524" s="301">
        <v>0.5539</v>
      </c>
      <c r="W524" s="301">
        <v>0.9607</v>
      </c>
      <c r="X524" s="301">
        <v>2.1456</v>
      </c>
      <c r="Y524" s="301">
        <v>1.7797</v>
      </c>
      <c r="Z524" s="301">
        <v>1.2154</v>
      </c>
      <c r="AA524" s="301">
        <v>6.0077</v>
      </c>
      <c r="AB524" s="301">
        <v>0.0775</v>
      </c>
      <c r="AC524" s="301">
        <v>0.2482</v>
      </c>
      <c r="AD524" s="301">
        <v>0.3485</v>
      </c>
      <c r="AE524" s="301">
        <v>1.5472</v>
      </c>
      <c r="AF524" s="301">
        <v>1.0358</v>
      </c>
      <c r="AG524" s="301">
        <v>0.1044</v>
      </c>
      <c r="AH524" s="301">
        <v>3.272</v>
      </c>
      <c r="AI524" s="301">
        <v>0.2952</v>
      </c>
      <c r="AJ524" s="301">
        <v>0.5066</v>
      </c>
      <c r="AK524" s="301">
        <v>4.8387</v>
      </c>
      <c r="AL524">
        <v>17</v>
      </c>
      <c r="AM524" t="s">
        <v>426</v>
      </c>
    </row>
    <row r="525" spans="1:39" ht="15">
      <c r="A525" s="470">
        <v>41299</v>
      </c>
      <c r="B525" s="301">
        <v>0.1043</v>
      </c>
      <c r="C525" s="301">
        <v>3.1186</v>
      </c>
      <c r="D525" s="301">
        <v>3.26</v>
      </c>
      <c r="E525" s="301">
        <v>0.4022</v>
      </c>
      <c r="F525" s="301">
        <v>3.1089</v>
      </c>
      <c r="G525" s="301">
        <v>2.6159</v>
      </c>
      <c r="H525" s="301">
        <v>2.5358</v>
      </c>
      <c r="I525" s="301">
        <v>4.1903</v>
      </c>
      <c r="J525" s="301">
        <v>1.4092</v>
      </c>
      <c r="K525" s="301">
        <v>3.368</v>
      </c>
      <c r="L525" s="301">
        <v>4.9205</v>
      </c>
      <c r="M525" s="301">
        <v>0.3836</v>
      </c>
      <c r="N525" s="301">
        <v>3.4352</v>
      </c>
      <c r="O525" s="301">
        <v>0.1639</v>
      </c>
      <c r="P525" s="301">
        <v>0.5615</v>
      </c>
      <c r="R525" s="301">
        <v>2.4256</v>
      </c>
      <c r="S525" s="301">
        <v>0.5654</v>
      </c>
      <c r="U525" s="301">
        <v>0.4825</v>
      </c>
      <c r="V525" s="301">
        <v>0.5526</v>
      </c>
      <c r="W525" s="301">
        <v>0.9604</v>
      </c>
      <c r="X525" s="301">
        <v>2.1424</v>
      </c>
      <c r="Y525" s="301">
        <v>1.7646</v>
      </c>
      <c r="Z525" s="301">
        <v>1.2136</v>
      </c>
      <c r="AA525" s="301">
        <v>5.9964</v>
      </c>
      <c r="AB525" s="301">
        <v>0.0766</v>
      </c>
      <c r="AC525" s="301">
        <v>0.2472</v>
      </c>
      <c r="AD525" s="301">
        <v>0.3461</v>
      </c>
      <c r="AE525" s="301">
        <v>1.5362</v>
      </c>
      <c r="AF525" s="301">
        <v>1.0243</v>
      </c>
      <c r="AG525" s="301">
        <v>0.104</v>
      </c>
      <c r="AH525" s="301">
        <v>3.2546</v>
      </c>
      <c r="AI525" s="301">
        <v>0.2899</v>
      </c>
      <c r="AJ525" s="301">
        <v>0.5013</v>
      </c>
      <c r="AK525" s="301">
        <v>4.8163</v>
      </c>
      <c r="AL525">
        <v>18</v>
      </c>
      <c r="AM525" t="s">
        <v>426</v>
      </c>
    </row>
    <row r="526" spans="1:39" ht="15">
      <c r="A526" s="470">
        <v>41302</v>
      </c>
      <c r="B526" s="301">
        <v>0.1036</v>
      </c>
      <c r="C526" s="301">
        <v>3.1074</v>
      </c>
      <c r="D526" s="301">
        <v>3.2306</v>
      </c>
      <c r="E526" s="301">
        <v>0.4005</v>
      </c>
      <c r="F526" s="301">
        <v>3.0773</v>
      </c>
      <c r="G526" s="301">
        <v>2.5797</v>
      </c>
      <c r="H526" s="301">
        <v>2.5074</v>
      </c>
      <c r="I526" s="301">
        <v>4.1805</v>
      </c>
      <c r="J526" s="301">
        <v>1.4071</v>
      </c>
      <c r="K526" s="301">
        <v>3.3531</v>
      </c>
      <c r="L526" s="301">
        <v>4.8923</v>
      </c>
      <c r="M526" s="301">
        <v>0.3831</v>
      </c>
      <c r="N526" s="301">
        <v>3.4243</v>
      </c>
      <c r="O526" s="301">
        <v>0.1634</v>
      </c>
      <c r="P526" s="301">
        <v>0.5603</v>
      </c>
      <c r="R526" s="301">
        <v>2.4186</v>
      </c>
      <c r="S526" s="301">
        <v>0.5619</v>
      </c>
      <c r="U526" s="301">
        <v>0.4814</v>
      </c>
      <c r="V526" s="301">
        <v>0.5513</v>
      </c>
      <c r="W526" s="301">
        <v>0.9528</v>
      </c>
      <c r="X526" s="301">
        <v>2.1374</v>
      </c>
      <c r="Y526" s="301">
        <v>1.7554</v>
      </c>
      <c r="Z526" s="301">
        <v>1.2108</v>
      </c>
      <c r="AA526" s="301">
        <v>5.9824</v>
      </c>
      <c r="AB526" s="301">
        <v>0.0759</v>
      </c>
      <c r="AC526" s="301">
        <v>0.2434</v>
      </c>
      <c r="AD526" s="301">
        <v>0.3471</v>
      </c>
      <c r="AE526" s="301">
        <v>1.5304</v>
      </c>
      <c r="AF526" s="301">
        <v>1.0204</v>
      </c>
      <c r="AG526" s="301">
        <v>0.1033</v>
      </c>
      <c r="AH526" s="301">
        <v>3.2182</v>
      </c>
      <c r="AI526" s="301">
        <v>0.2847</v>
      </c>
      <c r="AJ526" s="301">
        <v>0.4993</v>
      </c>
      <c r="AK526" s="301">
        <v>4.7679</v>
      </c>
      <c r="AL526">
        <v>19</v>
      </c>
      <c r="AM526" t="s">
        <v>426</v>
      </c>
    </row>
    <row r="527" spans="1:39" ht="15">
      <c r="A527" s="470">
        <v>41303</v>
      </c>
      <c r="B527" s="301">
        <v>0.1046</v>
      </c>
      <c r="C527" s="301">
        <v>3.1229</v>
      </c>
      <c r="D527" s="301">
        <v>3.2624</v>
      </c>
      <c r="E527" s="301">
        <v>0.4024</v>
      </c>
      <c r="F527" s="301">
        <v>3.1039</v>
      </c>
      <c r="G527" s="301">
        <v>2.6094</v>
      </c>
      <c r="H527" s="301">
        <v>2.5251</v>
      </c>
      <c r="I527" s="301">
        <v>4.1969</v>
      </c>
      <c r="J527" s="301">
        <v>1.411</v>
      </c>
      <c r="K527" s="301">
        <v>3.3763</v>
      </c>
      <c r="L527" s="301">
        <v>4.9055</v>
      </c>
      <c r="M527" s="301">
        <v>0.3833</v>
      </c>
      <c r="N527" s="301">
        <v>3.4456</v>
      </c>
      <c r="O527" s="301">
        <v>0.1637</v>
      </c>
      <c r="P527" s="301">
        <v>0.5626</v>
      </c>
      <c r="R527" s="301">
        <v>2.4267</v>
      </c>
      <c r="S527" s="301">
        <v>0.5641</v>
      </c>
      <c r="U527" s="301">
        <v>0.4864</v>
      </c>
      <c r="V527" s="301">
        <v>0.553</v>
      </c>
      <c r="W527" s="301">
        <v>0.9567</v>
      </c>
      <c r="X527" s="301">
        <v>2.1458</v>
      </c>
      <c r="Y527" s="301">
        <v>1.7637</v>
      </c>
      <c r="Z527" s="301">
        <v>1.2155</v>
      </c>
      <c r="AA527" s="301">
        <v>6.005</v>
      </c>
      <c r="AB527" s="301">
        <v>0.0766</v>
      </c>
      <c r="AC527" s="301">
        <v>0.2451</v>
      </c>
      <c r="AD527" s="301">
        <v>0.3444</v>
      </c>
      <c r="AE527" s="301">
        <v>1.5644</v>
      </c>
      <c r="AF527" s="301">
        <v>1.0142</v>
      </c>
      <c r="AG527" s="301">
        <v>0.1036</v>
      </c>
      <c r="AH527" s="301">
        <v>3.2222</v>
      </c>
      <c r="AI527" s="301">
        <v>0.2883</v>
      </c>
      <c r="AJ527" s="301">
        <v>0.5016</v>
      </c>
      <c r="AK527" s="301">
        <v>4.7953</v>
      </c>
      <c r="AL527">
        <v>20</v>
      </c>
      <c r="AM527" t="s">
        <v>426</v>
      </c>
    </row>
    <row r="528" spans="1:39" ht="15">
      <c r="A528" s="470">
        <v>41304</v>
      </c>
      <c r="B528" s="301">
        <v>0.1039</v>
      </c>
      <c r="C528" s="301">
        <v>3.0938</v>
      </c>
      <c r="D528" s="301">
        <v>3.2302</v>
      </c>
      <c r="E528" s="301">
        <v>0.3987</v>
      </c>
      <c r="F528" s="301">
        <v>3.0866</v>
      </c>
      <c r="G528" s="301">
        <v>2.5823</v>
      </c>
      <c r="H528" s="301">
        <v>2.501</v>
      </c>
      <c r="I528" s="301">
        <v>4.1858</v>
      </c>
      <c r="J528" s="301">
        <v>1.4184</v>
      </c>
      <c r="K528" s="301">
        <v>3.3629</v>
      </c>
      <c r="L528" s="301">
        <v>4.8732</v>
      </c>
      <c r="M528" s="301">
        <v>0.3802</v>
      </c>
      <c r="N528" s="301">
        <v>3.387</v>
      </c>
      <c r="O528" s="301">
        <v>0.1633</v>
      </c>
      <c r="P528" s="301">
        <v>0.5611</v>
      </c>
      <c r="R528" s="301">
        <v>2.4036</v>
      </c>
      <c r="S528" s="301">
        <v>0.5627</v>
      </c>
      <c r="U528" s="301">
        <v>0.4863</v>
      </c>
      <c r="V528" s="301">
        <v>0.5517</v>
      </c>
      <c r="W528" s="301">
        <v>0.9552</v>
      </c>
      <c r="X528" s="301">
        <v>2.1401</v>
      </c>
      <c r="Y528" s="301">
        <v>1.7521</v>
      </c>
      <c r="Z528" s="301">
        <v>1.2123</v>
      </c>
      <c r="AA528" s="301">
        <v>5.99</v>
      </c>
      <c r="AB528" s="301">
        <v>0.0761</v>
      </c>
      <c r="AC528" s="301">
        <v>0.2438</v>
      </c>
      <c r="AD528" s="301">
        <v>0.3429</v>
      </c>
      <c r="AE528" s="301">
        <v>1.5576</v>
      </c>
      <c r="AF528" s="301">
        <v>1.0034</v>
      </c>
      <c r="AG528" s="301">
        <v>0.1031</v>
      </c>
      <c r="AH528" s="301">
        <v>3.2137</v>
      </c>
      <c r="AI528" s="301">
        <v>0.2849</v>
      </c>
      <c r="AJ528" s="301">
        <v>0.4973</v>
      </c>
      <c r="AK528" s="301">
        <v>4.7879</v>
      </c>
      <c r="AL528">
        <v>21</v>
      </c>
      <c r="AM528" t="s">
        <v>426</v>
      </c>
    </row>
    <row r="529" spans="1:39" ht="15">
      <c r="A529" s="470">
        <v>41305</v>
      </c>
      <c r="B529" s="301">
        <v>0.1035</v>
      </c>
      <c r="C529" s="301">
        <v>3.0874</v>
      </c>
      <c r="D529" s="301">
        <v>3.2159</v>
      </c>
      <c r="E529" s="301">
        <v>0.398</v>
      </c>
      <c r="F529" s="301">
        <v>3.08</v>
      </c>
      <c r="G529" s="301">
        <v>2.5861</v>
      </c>
      <c r="H529" s="301">
        <v>2.4945</v>
      </c>
      <c r="I529" s="301">
        <v>4.187</v>
      </c>
      <c r="J529" s="301">
        <v>1.4318</v>
      </c>
      <c r="K529" s="301">
        <v>3.389</v>
      </c>
      <c r="L529" s="301">
        <v>4.8885</v>
      </c>
      <c r="M529" s="301">
        <v>0.3792</v>
      </c>
      <c r="N529" s="301">
        <v>3.3934</v>
      </c>
      <c r="O529" s="301">
        <v>0.1635</v>
      </c>
      <c r="P529" s="301">
        <v>0.5612</v>
      </c>
      <c r="R529" s="301">
        <v>2.396</v>
      </c>
      <c r="S529" s="301">
        <v>0.5628</v>
      </c>
      <c r="U529" s="301">
        <v>0.4857</v>
      </c>
      <c r="V529" s="301">
        <v>0.5514</v>
      </c>
      <c r="W529" s="301">
        <v>0.9556</v>
      </c>
      <c r="X529" s="301">
        <v>2.1408</v>
      </c>
      <c r="Y529" s="301">
        <v>1.7511</v>
      </c>
      <c r="Z529" s="301">
        <v>1.2126</v>
      </c>
      <c r="AA529" s="301">
        <v>5.984</v>
      </c>
      <c r="AB529" s="301">
        <v>0.0759</v>
      </c>
      <c r="AC529" s="301">
        <v>0.2431</v>
      </c>
      <c r="AD529" s="301">
        <v>0.3442</v>
      </c>
      <c r="AE529" s="301">
        <v>1.5535</v>
      </c>
      <c r="AF529" s="301">
        <v>0.9936</v>
      </c>
      <c r="AG529" s="301">
        <v>0.1027</v>
      </c>
      <c r="AH529" s="301">
        <v>3.1852</v>
      </c>
      <c r="AI529" s="301">
        <v>0.2834</v>
      </c>
      <c r="AJ529" s="301">
        <v>0.4964</v>
      </c>
      <c r="AK529" s="301">
        <v>4.7638</v>
      </c>
      <c r="AL529">
        <v>22</v>
      </c>
      <c r="AM529" t="s">
        <v>426</v>
      </c>
    </row>
    <row r="530" spans="1:39" ht="15">
      <c r="A530" s="470">
        <v>41306</v>
      </c>
      <c r="B530" s="301">
        <v>0.1031</v>
      </c>
      <c r="C530" s="301">
        <v>3.0744</v>
      </c>
      <c r="D530" s="301">
        <v>3.1878</v>
      </c>
      <c r="E530" s="301">
        <v>0.3964</v>
      </c>
      <c r="F530" s="301">
        <v>3.0756</v>
      </c>
      <c r="G530" s="301">
        <v>2.5834</v>
      </c>
      <c r="H530" s="301">
        <v>2.4768</v>
      </c>
      <c r="I530" s="301">
        <v>4.2028</v>
      </c>
      <c r="J530" s="301">
        <v>1.4376</v>
      </c>
      <c r="K530" s="301">
        <v>3.3991</v>
      </c>
      <c r="L530" s="301">
        <v>4.8629</v>
      </c>
      <c r="M530" s="301">
        <v>0.3784</v>
      </c>
      <c r="N530" s="301">
        <v>3.3344</v>
      </c>
      <c r="O530" s="301">
        <v>0.1636</v>
      </c>
      <c r="P530" s="301">
        <v>0.5633</v>
      </c>
      <c r="R530" s="301">
        <v>2.4364</v>
      </c>
      <c r="S530" s="301">
        <v>0.5649</v>
      </c>
      <c r="U530" s="301">
        <v>0.4882</v>
      </c>
      <c r="V530" s="301">
        <v>0.5535</v>
      </c>
      <c r="W530" s="301">
        <v>0.9597</v>
      </c>
      <c r="X530" s="301">
        <v>2.1488</v>
      </c>
      <c r="Y530" s="301">
        <v>1.7526</v>
      </c>
      <c r="Z530" s="301">
        <v>1.2172</v>
      </c>
      <c r="AA530" s="301">
        <v>6.0083</v>
      </c>
      <c r="AB530" s="301">
        <v>0.0756</v>
      </c>
      <c r="AC530" s="301">
        <v>0.2411</v>
      </c>
      <c r="AD530" s="301">
        <v>0.3422</v>
      </c>
      <c r="AE530" s="301">
        <v>1.5442</v>
      </c>
      <c r="AF530" s="301">
        <v>0.9895</v>
      </c>
      <c r="AG530" s="301">
        <v>0.1027</v>
      </c>
      <c r="AH530" s="301">
        <v>3.1973</v>
      </c>
      <c r="AI530" s="301">
        <v>0.2802</v>
      </c>
      <c r="AJ530" s="301">
        <v>0.4937</v>
      </c>
      <c r="AK530" s="301">
        <v>4.7808</v>
      </c>
      <c r="AL530">
        <v>23</v>
      </c>
      <c r="AM530" t="s">
        <v>433</v>
      </c>
    </row>
    <row r="531" spans="1:39" ht="15">
      <c r="A531" s="470">
        <v>41309</v>
      </c>
      <c r="B531" s="301">
        <v>0.1027</v>
      </c>
      <c r="C531" s="301">
        <v>3.0563</v>
      </c>
      <c r="D531" s="301">
        <v>3.1832</v>
      </c>
      <c r="E531" s="301">
        <v>0.394</v>
      </c>
      <c r="F531" s="301">
        <v>3.0681</v>
      </c>
      <c r="G531" s="301">
        <v>2.5827</v>
      </c>
      <c r="H531" s="301">
        <v>2.4664</v>
      </c>
      <c r="I531" s="301">
        <v>4.1515</v>
      </c>
      <c r="J531" s="301">
        <v>1.4206</v>
      </c>
      <c r="K531" s="301">
        <v>3.3564</v>
      </c>
      <c r="L531" s="301">
        <v>4.8066</v>
      </c>
      <c r="M531" s="301">
        <v>0.3751</v>
      </c>
      <c r="N531" s="301">
        <v>3.2807</v>
      </c>
      <c r="O531" s="301">
        <v>0.162</v>
      </c>
      <c r="P531" s="301">
        <v>0.5565</v>
      </c>
      <c r="R531" s="301">
        <v>2.4193</v>
      </c>
      <c r="S531" s="301">
        <v>0.5583</v>
      </c>
      <c r="U531" s="301">
        <v>0.4838</v>
      </c>
      <c r="V531" s="301">
        <v>0.5469</v>
      </c>
      <c r="W531" s="301">
        <v>0.9514</v>
      </c>
      <c r="X531" s="301">
        <v>2.1227</v>
      </c>
      <c r="Y531" s="301">
        <v>1.7436</v>
      </c>
      <c r="Z531" s="301">
        <v>1.2024</v>
      </c>
      <c r="AA531" s="301">
        <v>5.9282</v>
      </c>
      <c r="AB531" s="301">
        <v>0.0752</v>
      </c>
      <c r="AC531" s="301">
        <v>0.2419</v>
      </c>
      <c r="AD531" s="301">
        <v>0.3427</v>
      </c>
      <c r="AE531" s="301">
        <v>1.5355</v>
      </c>
      <c r="AF531" s="301">
        <v>0.9878</v>
      </c>
      <c r="AG531" s="301">
        <v>0.1019</v>
      </c>
      <c r="AH531" s="301">
        <v>3.1582</v>
      </c>
      <c r="AI531" s="301">
        <v>0.2816</v>
      </c>
      <c r="AJ531" s="301">
        <v>0.4902</v>
      </c>
      <c r="AK531" s="301">
        <v>4.6982</v>
      </c>
      <c r="AL531">
        <v>24</v>
      </c>
      <c r="AM531" t="s">
        <v>434</v>
      </c>
    </row>
    <row r="532" spans="1:39" ht="15">
      <c r="A532" s="470">
        <v>41310</v>
      </c>
      <c r="B532" s="301">
        <v>0.1037</v>
      </c>
      <c r="C532" s="301">
        <v>3.0831</v>
      </c>
      <c r="D532" s="301">
        <v>3.21</v>
      </c>
      <c r="E532" s="301">
        <v>0.3977</v>
      </c>
      <c r="F532" s="301">
        <v>3.088</v>
      </c>
      <c r="G532" s="301">
        <v>2.6043</v>
      </c>
      <c r="H532" s="301">
        <v>2.4923</v>
      </c>
      <c r="I532" s="301">
        <v>4.17</v>
      </c>
      <c r="J532" s="301">
        <v>1.4246</v>
      </c>
      <c r="K532" s="301">
        <v>3.3929</v>
      </c>
      <c r="L532" s="301">
        <v>4.8658</v>
      </c>
      <c r="M532" s="301">
        <v>0.3785</v>
      </c>
      <c r="N532" s="301">
        <v>3.3215</v>
      </c>
      <c r="O532" s="301">
        <v>0.1626</v>
      </c>
      <c r="P532" s="301">
        <v>0.559</v>
      </c>
      <c r="R532" s="301">
        <v>2.4301</v>
      </c>
      <c r="S532" s="301">
        <v>0.5619</v>
      </c>
      <c r="U532" s="301">
        <v>0.4872</v>
      </c>
      <c r="V532" s="301">
        <v>0.5493</v>
      </c>
      <c r="W532" s="301">
        <v>0.9527</v>
      </c>
      <c r="X532" s="301">
        <v>2.1321</v>
      </c>
      <c r="Y532" s="301">
        <v>1.7524</v>
      </c>
      <c r="Z532" s="301">
        <v>1.2077</v>
      </c>
      <c r="AA532" s="301">
        <v>5.9588</v>
      </c>
      <c r="AB532" s="301">
        <v>0.0759</v>
      </c>
      <c r="AC532" s="301">
        <v>0.2431</v>
      </c>
      <c r="AD532" s="301">
        <v>0.3471</v>
      </c>
      <c r="AE532" s="301">
        <v>1.5446</v>
      </c>
      <c r="AF532" s="301">
        <v>0.9983</v>
      </c>
      <c r="AG532" s="301">
        <v>0.1026</v>
      </c>
      <c r="AH532" s="301">
        <v>3.1723</v>
      </c>
      <c r="AI532" s="301">
        <v>0.2839</v>
      </c>
      <c r="AJ532" s="301">
        <v>0.4949</v>
      </c>
      <c r="AK532" s="301">
        <v>4.7336</v>
      </c>
      <c r="AL532">
        <v>25</v>
      </c>
      <c r="AM532" t="s">
        <v>435</v>
      </c>
    </row>
    <row r="533" spans="1:39" ht="15">
      <c r="A533" s="470">
        <v>41311</v>
      </c>
      <c r="B533" s="301">
        <v>0.1037</v>
      </c>
      <c r="C533" s="301">
        <v>3.0868</v>
      </c>
      <c r="D533" s="301">
        <v>3.183</v>
      </c>
      <c r="E533" s="301">
        <v>0.3982</v>
      </c>
      <c r="F533" s="301">
        <v>3.0975</v>
      </c>
      <c r="G533" s="301">
        <v>2.5977</v>
      </c>
      <c r="H533" s="301">
        <v>2.4942</v>
      </c>
      <c r="I533" s="301">
        <v>4.1801</v>
      </c>
      <c r="J533" s="301">
        <v>1.4231</v>
      </c>
      <c r="K533" s="301">
        <v>3.3841</v>
      </c>
      <c r="L533" s="301">
        <v>4.8353</v>
      </c>
      <c r="M533" s="301">
        <v>0.379</v>
      </c>
      <c r="N533" s="301">
        <v>3.2936</v>
      </c>
      <c r="O533" s="301">
        <v>0.1624</v>
      </c>
      <c r="P533" s="301">
        <v>0.5604</v>
      </c>
      <c r="R533" s="301">
        <v>2.431</v>
      </c>
      <c r="S533" s="301">
        <v>0.5621</v>
      </c>
      <c r="U533" s="301">
        <v>0.4867</v>
      </c>
      <c r="V533" s="301">
        <v>0.5512</v>
      </c>
      <c r="W533" s="301">
        <v>0.9533</v>
      </c>
      <c r="X533" s="301">
        <v>2.1373</v>
      </c>
      <c r="Y533" s="301">
        <v>1.749</v>
      </c>
      <c r="Z533" s="301">
        <v>1.2106</v>
      </c>
      <c r="AA533" s="301">
        <v>5.9716</v>
      </c>
      <c r="AB533" s="301">
        <v>0.0759</v>
      </c>
      <c r="AC533" s="301">
        <v>0.2442</v>
      </c>
      <c r="AD533" s="301">
        <v>0.3472</v>
      </c>
      <c r="AE533" s="301">
        <v>1.5543</v>
      </c>
      <c r="AF533" s="301">
        <v>0.9964</v>
      </c>
      <c r="AG533" s="301">
        <v>0.1029</v>
      </c>
      <c r="AH533" s="301">
        <v>3.18</v>
      </c>
      <c r="AI533" s="301">
        <v>0.2837</v>
      </c>
      <c r="AJ533" s="301">
        <v>0.4954</v>
      </c>
      <c r="AK533" s="301">
        <v>4.7496</v>
      </c>
      <c r="AL533">
        <v>26</v>
      </c>
      <c r="AM533" t="s">
        <v>436</v>
      </c>
    </row>
    <row r="534" spans="1:39" ht="15">
      <c r="A534" s="470">
        <v>41312</v>
      </c>
      <c r="B534" s="301">
        <v>0.1038</v>
      </c>
      <c r="C534" s="301">
        <v>3.0886</v>
      </c>
      <c r="D534" s="301">
        <v>3.1888</v>
      </c>
      <c r="E534" s="301">
        <v>0.3982</v>
      </c>
      <c r="F534" s="301">
        <v>3.1026</v>
      </c>
      <c r="G534" s="301">
        <v>2.5837</v>
      </c>
      <c r="H534" s="301">
        <v>2.4961</v>
      </c>
      <c r="I534" s="301">
        <v>4.1882</v>
      </c>
      <c r="J534" s="301">
        <v>1.424</v>
      </c>
      <c r="K534" s="301">
        <v>3.4017</v>
      </c>
      <c r="L534" s="301">
        <v>4.8402</v>
      </c>
      <c r="M534" s="301">
        <v>0.3803</v>
      </c>
      <c r="N534" s="301">
        <v>3.2912</v>
      </c>
      <c r="O534" s="301">
        <v>0.1659</v>
      </c>
      <c r="P534" s="301">
        <v>0.5613</v>
      </c>
      <c r="R534" s="301">
        <v>2.4343</v>
      </c>
      <c r="S534" s="301">
        <v>0.5628</v>
      </c>
      <c r="U534" s="301">
        <v>0.4869</v>
      </c>
      <c r="V534" s="301">
        <v>0.5527</v>
      </c>
      <c r="W534" s="301">
        <v>0.9511</v>
      </c>
      <c r="X534" s="301">
        <v>2.1414</v>
      </c>
      <c r="Y534" s="301">
        <v>1.7458</v>
      </c>
      <c r="Z534" s="301">
        <v>1.213</v>
      </c>
      <c r="AA534" s="301">
        <v>5.9874</v>
      </c>
      <c r="AB534" s="301">
        <v>0.0759</v>
      </c>
      <c r="AC534" s="301">
        <v>0.2435</v>
      </c>
      <c r="AD534" s="301">
        <v>0.3467</v>
      </c>
      <c r="AE534" s="301">
        <v>1.5505</v>
      </c>
      <c r="AF534" s="301">
        <v>0.9991</v>
      </c>
      <c r="AG534" s="301">
        <v>0.1028</v>
      </c>
      <c r="AH534" s="301">
        <v>3.191</v>
      </c>
      <c r="AI534" s="301">
        <v>0.2836</v>
      </c>
      <c r="AJ534" s="301">
        <v>0.4956</v>
      </c>
      <c r="AK534" s="301">
        <v>4.7571</v>
      </c>
      <c r="AL534">
        <v>27</v>
      </c>
      <c r="AM534" t="s">
        <v>437</v>
      </c>
    </row>
    <row r="535" spans="1:39" ht="15">
      <c r="A535" s="470">
        <v>41313</v>
      </c>
      <c r="B535" s="301">
        <v>0.1043</v>
      </c>
      <c r="C535" s="301">
        <v>3.1056</v>
      </c>
      <c r="D535" s="301">
        <v>3.2077</v>
      </c>
      <c r="E535" s="301">
        <v>0.4004</v>
      </c>
      <c r="F535" s="301">
        <v>3.1104</v>
      </c>
      <c r="G535" s="301">
        <v>2.5989</v>
      </c>
      <c r="H535" s="301">
        <v>2.509</v>
      </c>
      <c r="I535" s="301">
        <v>4.167</v>
      </c>
      <c r="J535" s="301">
        <v>1.4244</v>
      </c>
      <c r="K535" s="301">
        <v>3.3884</v>
      </c>
      <c r="L535" s="301">
        <v>4.8891</v>
      </c>
      <c r="M535" s="301">
        <v>0.381</v>
      </c>
      <c r="N535" s="301">
        <v>3.3504</v>
      </c>
      <c r="O535" s="301">
        <v>0.1652</v>
      </c>
      <c r="P535" s="301">
        <v>0.5584</v>
      </c>
      <c r="R535" s="301">
        <v>2.4297</v>
      </c>
      <c r="S535" s="301">
        <v>0.563</v>
      </c>
      <c r="U535" s="301">
        <v>0.4845</v>
      </c>
      <c r="V535" s="301">
        <v>0.5499</v>
      </c>
      <c r="W535" s="301">
        <v>0.9479</v>
      </c>
      <c r="X535" s="301">
        <v>2.1306</v>
      </c>
      <c r="Y535" s="301">
        <v>1.7526</v>
      </c>
      <c r="Z535" s="301">
        <v>1.2068</v>
      </c>
      <c r="AA535" s="301">
        <v>5.9554</v>
      </c>
      <c r="AB535" s="301">
        <v>0.0763</v>
      </c>
      <c r="AC535" s="301">
        <v>0.2439</v>
      </c>
      <c r="AD535" s="301">
        <v>0.348</v>
      </c>
      <c r="AE535" s="301">
        <v>1.578</v>
      </c>
      <c r="AF535" s="301">
        <v>1.0023</v>
      </c>
      <c r="AG535" s="301">
        <v>0.103</v>
      </c>
      <c r="AH535" s="301">
        <v>3.1749</v>
      </c>
      <c r="AI535" s="301">
        <v>0.2834</v>
      </c>
      <c r="AJ535" s="301">
        <v>0.4983</v>
      </c>
      <c r="AK535" s="301">
        <v>4.7283</v>
      </c>
      <c r="AL535">
        <v>28</v>
      </c>
      <c r="AM535" t="s">
        <v>438</v>
      </c>
    </row>
    <row r="536" spans="1:39" ht="15">
      <c r="A536" s="470">
        <v>41316</v>
      </c>
      <c r="B536" s="301">
        <v>0.1039</v>
      </c>
      <c r="C536" s="301">
        <v>3.0991</v>
      </c>
      <c r="D536" s="301">
        <v>3.1842</v>
      </c>
      <c r="E536" s="301">
        <v>0.3996</v>
      </c>
      <c r="F536" s="301">
        <v>3.0786</v>
      </c>
      <c r="G536" s="301">
        <v>2.5795</v>
      </c>
      <c r="H536" s="301">
        <v>2.5008</v>
      </c>
      <c r="I536" s="301">
        <v>4.1519</v>
      </c>
      <c r="J536" s="301">
        <v>1.4257</v>
      </c>
      <c r="K536" s="301">
        <v>3.3823</v>
      </c>
      <c r="L536" s="301">
        <v>4.8728</v>
      </c>
      <c r="M536" s="301">
        <v>0.3796</v>
      </c>
      <c r="N536" s="301">
        <v>3.3259</v>
      </c>
      <c r="O536" s="301">
        <v>0.1644</v>
      </c>
      <c r="P536" s="301">
        <v>0.5565</v>
      </c>
      <c r="R536" s="301">
        <v>2.4076</v>
      </c>
      <c r="S536" s="301">
        <v>0.5618</v>
      </c>
      <c r="U536" s="301">
        <v>0.4836</v>
      </c>
      <c r="V536" s="301">
        <v>0.5481</v>
      </c>
      <c r="W536" s="301">
        <v>0.9434</v>
      </c>
      <c r="X536" s="301">
        <v>2.1229</v>
      </c>
      <c r="Y536" s="301">
        <v>1.7479</v>
      </c>
      <c r="Z536" s="301">
        <v>1.2025</v>
      </c>
      <c r="AA536" s="301">
        <v>5.9355</v>
      </c>
      <c r="AB536" s="301">
        <v>0.0761</v>
      </c>
      <c r="AC536" s="301">
        <v>0.2427</v>
      </c>
      <c r="AD536" s="301">
        <v>0.348</v>
      </c>
      <c r="AE536" s="301">
        <v>1.5739</v>
      </c>
      <c r="AF536" s="301">
        <v>1.0002</v>
      </c>
      <c r="AG536" s="301">
        <v>0.1029</v>
      </c>
      <c r="AH536" s="301">
        <v>3.1634</v>
      </c>
      <c r="AI536" s="301">
        <v>0.2828</v>
      </c>
      <c r="AJ536" s="301">
        <v>0.4972</v>
      </c>
      <c r="AK536" s="301">
        <v>4.7592</v>
      </c>
      <c r="AL536">
        <v>29</v>
      </c>
      <c r="AM536" t="s">
        <v>439</v>
      </c>
    </row>
    <row r="537" spans="1:39" ht="15">
      <c r="A537" s="470">
        <v>41317</v>
      </c>
      <c r="B537" s="301">
        <v>0.1042</v>
      </c>
      <c r="C537" s="301">
        <v>3.1159</v>
      </c>
      <c r="D537" s="301">
        <v>3.1888</v>
      </c>
      <c r="E537" s="301">
        <v>0.4018</v>
      </c>
      <c r="F537" s="301">
        <v>3.0897</v>
      </c>
      <c r="G537" s="301">
        <v>2.5983</v>
      </c>
      <c r="H537" s="301">
        <v>2.5034</v>
      </c>
      <c r="I537" s="301">
        <v>4.1686</v>
      </c>
      <c r="J537" s="301">
        <v>1.4281</v>
      </c>
      <c r="K537" s="301">
        <v>3.3909</v>
      </c>
      <c r="L537" s="301">
        <v>4.8545</v>
      </c>
      <c r="M537" s="301">
        <v>0.384</v>
      </c>
      <c r="N537" s="301">
        <v>3.3128</v>
      </c>
      <c r="O537" s="301">
        <v>0.1648</v>
      </c>
      <c r="P537" s="301">
        <v>0.5587</v>
      </c>
      <c r="R537" s="301">
        <v>2.4243</v>
      </c>
      <c r="S537" s="301">
        <v>0.5653</v>
      </c>
      <c r="U537" s="301">
        <v>0.4868</v>
      </c>
      <c r="V537" s="301">
        <v>0.5499</v>
      </c>
      <c r="W537" s="301">
        <v>0.9476</v>
      </c>
      <c r="X537" s="301">
        <v>2.1314</v>
      </c>
      <c r="Y537" s="301">
        <v>1.7542</v>
      </c>
      <c r="Z537" s="301">
        <v>1.2073</v>
      </c>
      <c r="AA537" s="301">
        <v>5.9594</v>
      </c>
      <c r="AB537" s="301">
        <v>0.0765</v>
      </c>
      <c r="AC537" s="301">
        <v>0.2437</v>
      </c>
      <c r="AD537" s="301">
        <v>0.3467</v>
      </c>
      <c r="AE537" s="301">
        <v>1.5793</v>
      </c>
      <c r="AF537" s="301">
        <v>1.0055</v>
      </c>
      <c r="AG537" s="301">
        <v>0.1033</v>
      </c>
      <c r="AH537" s="301">
        <v>3.1761</v>
      </c>
      <c r="AI537" s="301">
        <v>0.2852</v>
      </c>
      <c r="AJ537" s="301">
        <v>0.4999</v>
      </c>
      <c r="AK537" s="301">
        <v>4.7623</v>
      </c>
      <c r="AL537">
        <v>30</v>
      </c>
      <c r="AM537" t="s">
        <v>440</v>
      </c>
    </row>
    <row r="538" spans="1:39" ht="15">
      <c r="A538" s="470">
        <v>41318</v>
      </c>
      <c r="B538" s="301">
        <v>0.104</v>
      </c>
      <c r="C538" s="301">
        <v>3.1012</v>
      </c>
      <c r="D538" s="301">
        <v>3.2065</v>
      </c>
      <c r="E538" s="301">
        <v>0.3998</v>
      </c>
      <c r="F538" s="301">
        <v>3.0915</v>
      </c>
      <c r="G538" s="301">
        <v>2.6098</v>
      </c>
      <c r="H538" s="301">
        <v>2.5034</v>
      </c>
      <c r="I538" s="301">
        <v>4.1781</v>
      </c>
      <c r="J538" s="301">
        <v>1.4407</v>
      </c>
      <c r="K538" s="301">
        <v>3.3788</v>
      </c>
      <c r="L538" s="301">
        <v>4.8529</v>
      </c>
      <c r="M538" s="301">
        <v>0.3836</v>
      </c>
      <c r="N538" s="301">
        <v>3.3248</v>
      </c>
      <c r="O538" s="301">
        <v>0.1646</v>
      </c>
      <c r="P538" s="301">
        <v>0.5599</v>
      </c>
      <c r="R538" s="301">
        <v>2.4256</v>
      </c>
      <c r="S538" s="301">
        <v>0.5664</v>
      </c>
      <c r="U538" s="301">
        <v>0.4911</v>
      </c>
      <c r="V538" s="301">
        <v>0.5511</v>
      </c>
      <c r="W538" s="301">
        <v>0.95</v>
      </c>
      <c r="X538" s="301">
        <v>2.1363</v>
      </c>
      <c r="Y538" s="301">
        <v>1.7548</v>
      </c>
      <c r="Z538" s="301">
        <v>1.2101</v>
      </c>
      <c r="AA538" s="301">
        <v>5.9679</v>
      </c>
      <c r="AB538" s="301">
        <v>0.0762</v>
      </c>
      <c r="AC538" s="301">
        <v>0.2445</v>
      </c>
      <c r="AD538" s="301">
        <v>0.3476</v>
      </c>
      <c r="AE538" s="301">
        <v>1.5739</v>
      </c>
      <c r="AF538" s="301">
        <v>1.0034</v>
      </c>
      <c r="AG538" s="301">
        <v>0.1033</v>
      </c>
      <c r="AH538" s="301">
        <v>3.1833</v>
      </c>
      <c r="AI538" s="301">
        <v>0.2855</v>
      </c>
      <c r="AJ538" s="301">
        <v>0.4975</v>
      </c>
      <c r="AK538" s="301">
        <v>4.7585</v>
      </c>
      <c r="AL538">
        <v>31</v>
      </c>
      <c r="AM538" t="s">
        <v>441</v>
      </c>
    </row>
    <row r="539" spans="1:39" ht="15">
      <c r="A539" s="470">
        <v>41319</v>
      </c>
      <c r="B539" s="301">
        <v>0.1046</v>
      </c>
      <c r="C539" s="301">
        <v>3.1209</v>
      </c>
      <c r="D539" s="301">
        <v>3.232</v>
      </c>
      <c r="E539" s="301">
        <v>0.4025</v>
      </c>
      <c r="F539" s="301">
        <v>3.1191</v>
      </c>
      <c r="G539" s="301">
        <v>2.6535</v>
      </c>
      <c r="H539" s="301">
        <v>2.5223</v>
      </c>
      <c r="I539" s="301">
        <v>4.1715</v>
      </c>
      <c r="J539" s="301">
        <v>1.4267</v>
      </c>
      <c r="K539" s="301">
        <v>3.3853</v>
      </c>
      <c r="L539" s="301">
        <v>4.8399</v>
      </c>
      <c r="M539" s="301">
        <v>0.3838</v>
      </c>
      <c r="N539" s="301">
        <v>3.3357</v>
      </c>
      <c r="O539" s="301">
        <v>0.1643</v>
      </c>
      <c r="P539" s="301">
        <v>0.5591</v>
      </c>
      <c r="R539" s="301">
        <v>2.4267</v>
      </c>
      <c r="S539" s="301">
        <v>0.5665</v>
      </c>
      <c r="U539" s="301">
        <v>0.4931</v>
      </c>
      <c r="V539" s="301">
        <v>0.5498</v>
      </c>
      <c r="W539" s="301">
        <v>0.951</v>
      </c>
      <c r="X539" s="301">
        <v>2.1329</v>
      </c>
      <c r="Y539" s="301">
        <v>1.7638</v>
      </c>
      <c r="Z539" s="301">
        <v>1.2081</v>
      </c>
      <c r="AA539" s="301">
        <v>5.9601</v>
      </c>
      <c r="AB539" s="301">
        <v>0.0768</v>
      </c>
      <c r="AC539" s="301">
        <v>0.2454</v>
      </c>
      <c r="AD539" s="301">
        <v>0.3509</v>
      </c>
      <c r="AE539" s="301">
        <v>1.5881</v>
      </c>
      <c r="AF539" s="301">
        <v>1.0103</v>
      </c>
      <c r="AG539" s="301">
        <v>0.1036</v>
      </c>
      <c r="AH539" s="301">
        <v>3.1783</v>
      </c>
      <c r="AI539" s="301">
        <v>0.2879</v>
      </c>
      <c r="AJ539" s="301">
        <v>0.5009</v>
      </c>
      <c r="AK539" s="301">
        <v>4.7428</v>
      </c>
      <c r="AL539">
        <v>32</v>
      </c>
      <c r="AM539" t="s">
        <v>442</v>
      </c>
    </row>
    <row r="540" spans="1:39" ht="15">
      <c r="A540" s="470">
        <v>41320</v>
      </c>
      <c r="B540" s="301">
        <v>0.1052</v>
      </c>
      <c r="C540" s="301">
        <v>3.1398</v>
      </c>
      <c r="D540" s="301">
        <v>3.2514</v>
      </c>
      <c r="E540" s="301">
        <v>0.4049</v>
      </c>
      <c r="F540" s="301">
        <v>3.1329</v>
      </c>
      <c r="G540" s="301">
        <v>2.669</v>
      </c>
      <c r="H540" s="301">
        <v>2.5406</v>
      </c>
      <c r="I540" s="301">
        <v>4.1852</v>
      </c>
      <c r="J540" s="301">
        <v>1.4327</v>
      </c>
      <c r="K540" s="301">
        <v>3.4061</v>
      </c>
      <c r="L540" s="301">
        <v>4.862</v>
      </c>
      <c r="M540" s="301">
        <v>0.3861</v>
      </c>
      <c r="N540" s="301">
        <v>3.4008</v>
      </c>
      <c r="O540" s="301">
        <v>0.1649</v>
      </c>
      <c r="P540" s="301">
        <v>0.5611</v>
      </c>
      <c r="R540" s="301">
        <v>2.4311</v>
      </c>
      <c r="S540" s="301">
        <v>0.5659</v>
      </c>
      <c r="U540" s="301">
        <v>0.4956</v>
      </c>
      <c r="V540" s="301">
        <v>0.5516</v>
      </c>
      <c r="W540" s="301">
        <v>0.9531</v>
      </c>
      <c r="X540" s="301">
        <v>2.1399</v>
      </c>
      <c r="Y540" s="301">
        <v>1.7749</v>
      </c>
      <c r="Z540" s="301">
        <v>1.2121</v>
      </c>
      <c r="AA540" s="301">
        <v>5.9814</v>
      </c>
      <c r="AB540" s="301">
        <v>0.0773</v>
      </c>
      <c r="AC540" s="301">
        <v>0.2471</v>
      </c>
      <c r="AD540" s="301">
        <v>0.3561</v>
      </c>
      <c r="AE540" s="301">
        <v>1.6032</v>
      </c>
      <c r="AF540" s="301">
        <v>1.0149</v>
      </c>
      <c r="AG540" s="301">
        <v>0.1041</v>
      </c>
      <c r="AH540" s="301">
        <v>3.1887</v>
      </c>
      <c r="AI540" s="301">
        <v>0.2911</v>
      </c>
      <c r="AJ540" s="301">
        <v>0.5038</v>
      </c>
      <c r="AK540" s="301">
        <v>4.791</v>
      </c>
      <c r="AL540">
        <v>33</v>
      </c>
      <c r="AM540" t="s">
        <v>443</v>
      </c>
    </row>
    <row r="541" spans="1:39" ht="15">
      <c r="A541" s="470">
        <v>41323</v>
      </c>
      <c r="B541" s="301">
        <v>0.105</v>
      </c>
      <c r="C541" s="301">
        <v>3.141</v>
      </c>
      <c r="D541" s="301">
        <v>3.23</v>
      </c>
      <c r="E541" s="301">
        <v>0.405</v>
      </c>
      <c r="F541" s="301">
        <v>3.1165</v>
      </c>
      <c r="G541" s="301">
        <v>2.6487</v>
      </c>
      <c r="H541" s="301">
        <v>2.533</v>
      </c>
      <c r="I541" s="301">
        <v>4.193</v>
      </c>
      <c r="J541" s="301">
        <v>1.4384</v>
      </c>
      <c r="K541" s="301">
        <v>3.4024</v>
      </c>
      <c r="L541" s="301">
        <v>4.8584</v>
      </c>
      <c r="M541" s="301">
        <v>0.387</v>
      </c>
      <c r="N541" s="301">
        <v>3.3404</v>
      </c>
      <c r="O541" s="301">
        <v>0.1651</v>
      </c>
      <c r="P541" s="301">
        <v>0.5622</v>
      </c>
      <c r="R541" s="301">
        <v>2.4279</v>
      </c>
      <c r="S541" s="301">
        <v>0.5652</v>
      </c>
      <c r="U541" s="301">
        <v>0.4959</v>
      </c>
      <c r="V541" s="301">
        <v>0.5528</v>
      </c>
      <c r="W541" s="301">
        <v>0.9562</v>
      </c>
      <c r="X541" s="301">
        <v>2.1439</v>
      </c>
      <c r="Y541" s="301">
        <v>1.7778</v>
      </c>
      <c r="Z541" s="301">
        <v>1.2144</v>
      </c>
      <c r="AA541" s="301">
        <v>5.9951</v>
      </c>
      <c r="AB541" s="301">
        <v>0.0773</v>
      </c>
      <c r="AC541" s="301">
        <v>0.2475</v>
      </c>
      <c r="AD541" s="301">
        <v>0.355</v>
      </c>
      <c r="AE541" s="301">
        <v>1.5941</v>
      </c>
      <c r="AF541" s="301">
        <v>1.0136</v>
      </c>
      <c r="AG541" s="301">
        <v>0.1043</v>
      </c>
      <c r="AH541" s="301">
        <v>3.1947</v>
      </c>
      <c r="AI541" s="301">
        <v>0.2899</v>
      </c>
      <c r="AJ541" s="301">
        <v>0.5031</v>
      </c>
      <c r="AK541" s="301">
        <v>4.8033</v>
      </c>
      <c r="AL541">
        <v>34</v>
      </c>
      <c r="AM541" t="s">
        <v>444</v>
      </c>
    </row>
    <row r="542" spans="1:39" ht="15">
      <c r="A542" s="470">
        <v>41324</v>
      </c>
      <c r="B542" s="301">
        <v>0.105</v>
      </c>
      <c r="C542" s="301">
        <v>3.136</v>
      </c>
      <c r="D542" s="301">
        <v>3.2414</v>
      </c>
      <c r="E542" s="301">
        <v>0.4045</v>
      </c>
      <c r="F542" s="301">
        <v>3.0989</v>
      </c>
      <c r="G542" s="301">
        <v>2.6505</v>
      </c>
      <c r="H542" s="301">
        <v>2.532</v>
      </c>
      <c r="I542" s="301">
        <v>4.1863</v>
      </c>
      <c r="J542" s="301">
        <v>1.4394</v>
      </c>
      <c r="K542" s="301">
        <v>3.3949</v>
      </c>
      <c r="L542" s="301">
        <v>4.8585</v>
      </c>
      <c r="M542" s="301">
        <v>0.3861</v>
      </c>
      <c r="N542" s="301">
        <v>3.3528</v>
      </c>
      <c r="O542" s="301">
        <v>0.1648</v>
      </c>
      <c r="P542" s="301">
        <v>0.5612</v>
      </c>
      <c r="R542" s="301">
        <v>2.4268</v>
      </c>
      <c r="S542" s="301">
        <v>0.5649</v>
      </c>
      <c r="U542" s="301">
        <v>0.4951</v>
      </c>
      <c r="V542" s="301">
        <v>0.5518</v>
      </c>
      <c r="W542" s="301">
        <v>0.9546</v>
      </c>
      <c r="X542" s="301">
        <v>2.1405</v>
      </c>
      <c r="Y542" s="301">
        <v>1.7739</v>
      </c>
      <c r="Z542" s="301">
        <v>1.2124</v>
      </c>
      <c r="AA542" s="301">
        <v>5.983</v>
      </c>
      <c r="AB542" s="301">
        <v>0.0772</v>
      </c>
      <c r="AC542" s="301">
        <v>0.2473</v>
      </c>
      <c r="AD542" s="301">
        <v>0.3513</v>
      </c>
      <c r="AE542" s="301">
        <v>1.5968</v>
      </c>
      <c r="AF542" s="301">
        <v>1.0111</v>
      </c>
      <c r="AG542" s="301">
        <v>0.1041</v>
      </c>
      <c r="AH542" s="301">
        <v>3.1896</v>
      </c>
      <c r="AI542" s="301">
        <v>0.2902</v>
      </c>
      <c r="AJ542" s="301">
        <v>0.5024</v>
      </c>
      <c r="AK542" s="301">
        <v>4.7957</v>
      </c>
      <c r="AL542">
        <v>35</v>
      </c>
      <c r="AM542" t="s">
        <v>445</v>
      </c>
    </row>
    <row r="543" spans="1:39" ht="15">
      <c r="A543" s="470">
        <v>41325</v>
      </c>
      <c r="B543" s="301">
        <v>0.1039</v>
      </c>
      <c r="C543" s="301">
        <v>3.1002</v>
      </c>
      <c r="D543" s="301">
        <v>3.2087</v>
      </c>
      <c r="E543" s="301">
        <v>0.3998</v>
      </c>
      <c r="F543" s="301">
        <v>3.0627</v>
      </c>
      <c r="G543" s="301">
        <v>2.6013</v>
      </c>
      <c r="H543" s="301">
        <v>2.508</v>
      </c>
      <c r="I543" s="301">
        <v>4.1602</v>
      </c>
      <c r="J543" s="301">
        <v>1.4307</v>
      </c>
      <c r="K543" s="301">
        <v>3.3728</v>
      </c>
      <c r="L543" s="301">
        <v>4.7513</v>
      </c>
      <c r="M543" s="301">
        <v>0.3833</v>
      </c>
      <c r="N543" s="301">
        <v>3.3195</v>
      </c>
      <c r="O543" s="301">
        <v>0.164</v>
      </c>
      <c r="P543" s="301">
        <v>0.5577</v>
      </c>
      <c r="R543" s="301">
        <v>2.4145</v>
      </c>
      <c r="S543" s="301">
        <v>0.5606</v>
      </c>
      <c r="U543" s="301">
        <v>0.4932</v>
      </c>
      <c r="V543" s="301">
        <v>0.5484</v>
      </c>
      <c r="W543" s="301">
        <v>0.9503</v>
      </c>
      <c r="X543" s="301">
        <v>2.1271</v>
      </c>
      <c r="Y543" s="301">
        <v>1.7443</v>
      </c>
      <c r="Z543" s="301">
        <v>1.2049</v>
      </c>
      <c r="AA543" s="301">
        <v>5.9448</v>
      </c>
      <c r="AB543" s="301">
        <v>0.0763</v>
      </c>
      <c r="AC543" s="301">
        <v>0.2452</v>
      </c>
      <c r="AD543" s="301">
        <v>0.3508</v>
      </c>
      <c r="AE543" s="301">
        <v>1.5855</v>
      </c>
      <c r="AF543" s="301">
        <v>1.0012</v>
      </c>
      <c r="AG543" s="301">
        <v>0.1032</v>
      </c>
      <c r="AH543" s="301">
        <v>3.1697</v>
      </c>
      <c r="AI543" s="301">
        <v>0.2876</v>
      </c>
      <c r="AJ543" s="301">
        <v>0.497</v>
      </c>
      <c r="AK543" s="301">
        <v>4.7533</v>
      </c>
      <c r="AL543">
        <v>36</v>
      </c>
      <c r="AM543" t="s">
        <v>446</v>
      </c>
    </row>
    <row r="544" spans="1:39" ht="15">
      <c r="A544" s="470">
        <v>41326</v>
      </c>
      <c r="B544" s="301">
        <v>0.1059</v>
      </c>
      <c r="C544" s="301">
        <v>3.1633</v>
      </c>
      <c r="D544" s="301">
        <v>3.2421</v>
      </c>
      <c r="E544" s="301">
        <v>0.4079</v>
      </c>
      <c r="F544" s="301">
        <v>3.1046</v>
      </c>
      <c r="G544" s="301">
        <v>2.6406</v>
      </c>
      <c r="H544" s="301">
        <v>2.5508</v>
      </c>
      <c r="I544" s="301">
        <v>4.176</v>
      </c>
      <c r="J544" s="301">
        <v>1.4269</v>
      </c>
      <c r="K544" s="301">
        <v>3.396</v>
      </c>
      <c r="L544" s="301">
        <v>4.8166</v>
      </c>
      <c r="M544" s="301">
        <v>0.3897</v>
      </c>
      <c r="N544" s="301">
        <v>3.3884</v>
      </c>
      <c r="O544" s="301">
        <v>0.164</v>
      </c>
      <c r="P544" s="301">
        <v>0.5598</v>
      </c>
      <c r="R544" s="301">
        <v>2.43</v>
      </c>
      <c r="S544" s="301">
        <v>0.5592</v>
      </c>
      <c r="U544" s="301">
        <v>0.493</v>
      </c>
      <c r="V544" s="301">
        <v>0.5502</v>
      </c>
      <c r="W544" s="301">
        <v>0.9526</v>
      </c>
      <c r="X544" s="301">
        <v>2.1352</v>
      </c>
      <c r="Y544" s="301">
        <v>1.7658</v>
      </c>
      <c r="Z544" s="301">
        <v>1.2095</v>
      </c>
      <c r="AA544" s="301">
        <v>5.9683</v>
      </c>
      <c r="AB544" s="301">
        <v>0.0776</v>
      </c>
      <c r="AC544" s="301">
        <v>0.2477</v>
      </c>
      <c r="AD544" s="301">
        <v>0.3542</v>
      </c>
      <c r="AE544" s="301">
        <v>1.6123</v>
      </c>
      <c r="AF544" s="301">
        <v>1.0166</v>
      </c>
      <c r="AG544" s="301">
        <v>0.1044</v>
      </c>
      <c r="AH544" s="301">
        <v>3.246</v>
      </c>
      <c r="AI544" s="301">
        <v>0.291</v>
      </c>
      <c r="AJ544" s="301">
        <v>0.507</v>
      </c>
      <c r="AK544" s="301">
        <v>4.7632</v>
      </c>
      <c r="AL544">
        <v>37</v>
      </c>
      <c r="AM544" t="s">
        <v>447</v>
      </c>
    </row>
    <row r="545" spans="1:39" ht="15">
      <c r="A545" s="470">
        <v>41327</v>
      </c>
      <c r="B545" s="301">
        <v>0.1053</v>
      </c>
      <c r="C545" s="301">
        <v>3.1443</v>
      </c>
      <c r="D545" s="301">
        <v>3.2394</v>
      </c>
      <c r="E545" s="301">
        <v>0.4054</v>
      </c>
      <c r="F545" s="301">
        <v>3.0855</v>
      </c>
      <c r="G545" s="301">
        <v>2.6323</v>
      </c>
      <c r="H545" s="301">
        <v>2.5407</v>
      </c>
      <c r="I545" s="301">
        <v>4.1574</v>
      </c>
      <c r="J545" s="301">
        <v>1.4198</v>
      </c>
      <c r="K545" s="301">
        <v>3.3797</v>
      </c>
      <c r="L545" s="301">
        <v>4.8037</v>
      </c>
      <c r="M545" s="301">
        <v>0.3863</v>
      </c>
      <c r="N545" s="301">
        <v>3.3704</v>
      </c>
      <c r="O545" s="301">
        <v>0.1632</v>
      </c>
      <c r="P545" s="301">
        <v>0.5573</v>
      </c>
      <c r="R545" s="301">
        <v>2.4607</v>
      </c>
      <c r="S545" s="301">
        <v>0.556</v>
      </c>
      <c r="U545" s="301">
        <v>0.4916</v>
      </c>
      <c r="V545" s="301">
        <v>0.5479</v>
      </c>
      <c r="W545" s="301">
        <v>0.9489</v>
      </c>
      <c r="X545" s="301">
        <v>2.1257</v>
      </c>
      <c r="Y545" s="301">
        <v>1.756</v>
      </c>
      <c r="Z545" s="301">
        <v>1.2041</v>
      </c>
      <c r="AA545" s="301">
        <v>5.9417</v>
      </c>
      <c r="AB545" s="301">
        <v>0.0772</v>
      </c>
      <c r="AC545" s="301">
        <v>0.2469</v>
      </c>
      <c r="AD545" s="301">
        <v>0.3544</v>
      </c>
      <c r="AE545" s="301">
        <v>1.5931</v>
      </c>
      <c r="AF545" s="301">
        <v>1.014</v>
      </c>
      <c r="AG545" s="301">
        <v>0.1036</v>
      </c>
      <c r="AH545" s="301">
        <v>3.2366</v>
      </c>
      <c r="AI545" s="301">
        <v>0.2899</v>
      </c>
      <c r="AJ545" s="301">
        <v>0.5044</v>
      </c>
      <c r="AK545" s="301">
        <v>4.7834</v>
      </c>
      <c r="AL545">
        <v>38</v>
      </c>
      <c r="AM545" t="s">
        <v>448</v>
      </c>
    </row>
    <row r="546" spans="1:39" ht="15">
      <c r="A546" s="470">
        <v>41330</v>
      </c>
      <c r="B546" s="301">
        <v>0.1053</v>
      </c>
      <c r="C546" s="301">
        <v>3.1412</v>
      </c>
      <c r="D546" s="301">
        <v>3.2329</v>
      </c>
      <c r="E546" s="301">
        <v>0.4049</v>
      </c>
      <c r="F546" s="301">
        <v>3.0678</v>
      </c>
      <c r="G546" s="301">
        <v>2.6343</v>
      </c>
      <c r="H546" s="301">
        <v>2.5371</v>
      </c>
      <c r="I546" s="301">
        <v>4.158</v>
      </c>
      <c r="J546" s="301">
        <v>1.4135</v>
      </c>
      <c r="K546" s="301">
        <v>3.3878</v>
      </c>
      <c r="L546" s="301">
        <v>4.7574</v>
      </c>
      <c r="M546" s="301">
        <v>0.386</v>
      </c>
      <c r="N546" s="301">
        <v>3.3458</v>
      </c>
      <c r="O546" s="301">
        <v>0.1628</v>
      </c>
      <c r="P546" s="301">
        <v>0.5574</v>
      </c>
      <c r="R546" s="301">
        <v>2.4816</v>
      </c>
      <c r="S546" s="301">
        <v>0.5578</v>
      </c>
      <c r="U546" s="301">
        <v>0.492</v>
      </c>
      <c r="V546" s="301">
        <v>0.5481</v>
      </c>
      <c r="W546" s="301">
        <v>0.9486</v>
      </c>
      <c r="X546" s="301">
        <v>2.126</v>
      </c>
      <c r="Y546" s="301">
        <v>1.744</v>
      </c>
      <c r="Z546" s="301">
        <v>1.2042</v>
      </c>
      <c r="AA546" s="301">
        <v>5.9417</v>
      </c>
      <c r="AB546" s="301">
        <v>0.0772</v>
      </c>
      <c r="AC546" s="301">
        <v>0.2472</v>
      </c>
      <c r="AD546" s="301">
        <v>0.3545</v>
      </c>
      <c r="AE546" s="301">
        <v>1.5909</v>
      </c>
      <c r="AF546" s="301">
        <v>1.0135</v>
      </c>
      <c r="AG546" s="301">
        <v>0.1035</v>
      </c>
      <c r="AH546" s="301">
        <v>3.2371</v>
      </c>
      <c r="AI546" s="301">
        <v>0.2894</v>
      </c>
      <c r="AJ546" s="301">
        <v>0.5038</v>
      </c>
      <c r="AK546" s="301">
        <v>4.7808</v>
      </c>
      <c r="AL546">
        <v>39</v>
      </c>
      <c r="AM546" t="s">
        <v>449</v>
      </c>
    </row>
    <row r="547" spans="1:39" ht="15">
      <c r="A547" s="470">
        <v>41331</v>
      </c>
      <c r="B547" s="301">
        <v>0.1064</v>
      </c>
      <c r="C547" s="301">
        <v>3.1733</v>
      </c>
      <c r="D547" s="301">
        <v>3.2595</v>
      </c>
      <c r="E547" s="301">
        <v>0.4091</v>
      </c>
      <c r="F547" s="301">
        <v>3.0969</v>
      </c>
      <c r="G547" s="301">
        <v>2.6423</v>
      </c>
      <c r="H547" s="301">
        <v>2.5617</v>
      </c>
      <c r="I547" s="301">
        <v>4.1613</v>
      </c>
      <c r="J547" s="301">
        <v>1.4166</v>
      </c>
      <c r="K547" s="301">
        <v>3.4145</v>
      </c>
      <c r="L547" s="301">
        <v>4.8169</v>
      </c>
      <c r="M547" s="301">
        <v>0.3858</v>
      </c>
      <c r="N547" s="301">
        <v>3.4395</v>
      </c>
      <c r="O547" s="301">
        <v>0.163</v>
      </c>
      <c r="P547" s="301">
        <v>0.5578</v>
      </c>
      <c r="R547" s="301">
        <v>2.5023</v>
      </c>
      <c r="S547" s="301">
        <v>0.5567</v>
      </c>
      <c r="U547" s="301">
        <v>0.4915</v>
      </c>
      <c r="V547" s="301">
        <v>0.5483</v>
      </c>
      <c r="W547" s="301">
        <v>0.9499</v>
      </c>
      <c r="X547" s="301">
        <v>2.1277</v>
      </c>
      <c r="Y547" s="301">
        <v>1.754</v>
      </c>
      <c r="Z547" s="301">
        <v>1.2052</v>
      </c>
      <c r="AA547" s="301">
        <v>5.9447</v>
      </c>
      <c r="AB547" s="301">
        <v>0.0778</v>
      </c>
      <c r="AC547" s="301">
        <v>0.2485</v>
      </c>
      <c r="AD547" s="301">
        <v>0.3612</v>
      </c>
      <c r="AE547" s="301">
        <v>1.5996</v>
      </c>
      <c r="AF547" s="301">
        <v>1.0228</v>
      </c>
      <c r="AG547" s="301">
        <v>0.1038</v>
      </c>
      <c r="AH547" s="301">
        <v>3.2346</v>
      </c>
      <c r="AI547" s="301">
        <v>0.2911</v>
      </c>
      <c r="AJ547" s="301">
        <v>0.5093</v>
      </c>
      <c r="AK547" s="301">
        <v>4.7487</v>
      </c>
      <c r="AL547">
        <v>40</v>
      </c>
      <c r="AM547" t="s">
        <v>450</v>
      </c>
    </row>
    <row r="548" spans="1:39" ht="15">
      <c r="A548" s="470">
        <v>41332</v>
      </c>
      <c r="B548" s="301">
        <v>0.1067</v>
      </c>
      <c r="C548" s="301">
        <v>3.1841</v>
      </c>
      <c r="D548" s="301">
        <v>3.2462</v>
      </c>
      <c r="E548" s="301">
        <v>0.4104</v>
      </c>
      <c r="F548" s="301">
        <v>3.1019</v>
      </c>
      <c r="G548" s="301">
        <v>2.6237</v>
      </c>
      <c r="H548" s="301">
        <v>2.5682</v>
      </c>
      <c r="I548" s="301">
        <v>4.1658</v>
      </c>
      <c r="J548" s="301">
        <v>1.407</v>
      </c>
      <c r="K548" s="301">
        <v>3.4203</v>
      </c>
      <c r="L548" s="301">
        <v>4.8123</v>
      </c>
      <c r="M548" s="301">
        <v>0.3911</v>
      </c>
      <c r="N548" s="301">
        <v>3.4734</v>
      </c>
      <c r="O548" s="301">
        <v>0.1624</v>
      </c>
      <c r="P548" s="301">
        <v>0.5587</v>
      </c>
      <c r="R548" s="301">
        <v>2.5125</v>
      </c>
      <c r="S548" s="301">
        <v>0.5573</v>
      </c>
      <c r="U548" s="301">
        <v>0.4934</v>
      </c>
      <c r="V548" s="301">
        <v>0.5487</v>
      </c>
      <c r="W548" s="301">
        <v>0.9526</v>
      </c>
      <c r="X548" s="301">
        <v>2.13</v>
      </c>
      <c r="Y548" s="301">
        <v>1.7616</v>
      </c>
      <c r="Z548" s="301">
        <v>1.2065</v>
      </c>
      <c r="AA548" s="301">
        <v>5.9452</v>
      </c>
      <c r="AB548" s="301">
        <v>0.0782</v>
      </c>
      <c r="AC548" s="301">
        <v>0.2478</v>
      </c>
      <c r="AD548" s="301">
        <v>0.3593</v>
      </c>
      <c r="AE548" s="301">
        <v>1.605</v>
      </c>
      <c r="AF548" s="301">
        <v>1.0266</v>
      </c>
      <c r="AG548" s="301">
        <v>0.1041</v>
      </c>
      <c r="AH548" s="301">
        <v>3.2381</v>
      </c>
      <c r="AI548" s="301">
        <v>0.2929</v>
      </c>
      <c r="AJ548" s="301">
        <v>0.5113</v>
      </c>
      <c r="AK548" s="301">
        <v>4.8191</v>
      </c>
      <c r="AL548">
        <v>41</v>
      </c>
      <c r="AM548" t="s">
        <v>451</v>
      </c>
    </row>
    <row r="549" spans="1:39" ht="15">
      <c r="A549" s="470">
        <v>41333</v>
      </c>
      <c r="B549" s="301">
        <v>0.1065</v>
      </c>
      <c r="C549" s="301">
        <v>3.1679</v>
      </c>
      <c r="D549" s="301">
        <v>3.2529</v>
      </c>
      <c r="E549" s="301">
        <v>0.4085</v>
      </c>
      <c r="F549" s="301">
        <v>3.0967</v>
      </c>
      <c r="G549" s="301">
        <v>2.6344</v>
      </c>
      <c r="H549" s="301">
        <v>2.5641</v>
      </c>
      <c r="I549" s="301">
        <v>4.157</v>
      </c>
      <c r="J549" s="301">
        <v>1.4032</v>
      </c>
      <c r="K549" s="301">
        <v>3.4072</v>
      </c>
      <c r="L549" s="301">
        <v>4.8058</v>
      </c>
      <c r="M549" s="301">
        <v>0.3891</v>
      </c>
      <c r="N549" s="301">
        <v>3.4411</v>
      </c>
      <c r="O549" s="301">
        <v>0.1622</v>
      </c>
      <c r="P549" s="301">
        <v>0.5576</v>
      </c>
      <c r="R549" s="301">
        <v>2.5163</v>
      </c>
      <c r="S549" s="301">
        <v>0.5556</v>
      </c>
      <c r="U549" s="301">
        <v>0.4919</v>
      </c>
      <c r="V549" s="301">
        <v>0.5475</v>
      </c>
      <c r="W549" s="301">
        <v>0.9513</v>
      </c>
      <c r="X549" s="301">
        <v>2.1255</v>
      </c>
      <c r="Y549" s="301">
        <v>1.7637</v>
      </c>
      <c r="Z549" s="301">
        <v>1.204</v>
      </c>
      <c r="AA549" s="301">
        <v>5.9326</v>
      </c>
      <c r="AB549" s="301">
        <v>0.0779</v>
      </c>
      <c r="AC549" s="301">
        <v>0.2482</v>
      </c>
      <c r="AD549" s="301">
        <v>0.3582</v>
      </c>
      <c r="AE549" s="301">
        <v>1.6034</v>
      </c>
      <c r="AF549" s="301">
        <v>1.0253</v>
      </c>
      <c r="AG549" s="301">
        <v>0.1038</v>
      </c>
      <c r="AH549" s="301">
        <v>3.2312</v>
      </c>
      <c r="AI549" s="301">
        <v>0.2923</v>
      </c>
      <c r="AJ549" s="301">
        <v>0.5093</v>
      </c>
      <c r="AK549" s="301">
        <v>4.8064</v>
      </c>
      <c r="AL549">
        <v>42</v>
      </c>
      <c r="AM549" t="s">
        <v>452</v>
      </c>
    </row>
    <row r="550" spans="1:40" ht="15">
      <c r="A550" s="540">
        <v>41334</v>
      </c>
      <c r="B550" s="301">
        <v>0.1067</v>
      </c>
      <c r="C550" s="301">
        <v>3.1769</v>
      </c>
      <c r="D550" s="301">
        <v>3.2432</v>
      </c>
      <c r="E550" s="301">
        <v>0.4103</v>
      </c>
      <c r="F550" s="301">
        <v>3.0802</v>
      </c>
      <c r="G550" s="301">
        <v>2.6242</v>
      </c>
      <c r="H550" s="301">
        <v>2.5643</v>
      </c>
      <c r="I550" s="301">
        <v>4.1432</v>
      </c>
      <c r="J550" s="301">
        <v>1.4035</v>
      </c>
      <c r="K550" s="301">
        <v>3.3846</v>
      </c>
      <c r="L550" s="301">
        <v>4.7705</v>
      </c>
      <c r="M550" s="301">
        <v>0.3893</v>
      </c>
      <c r="N550" s="301">
        <v>3.4265</v>
      </c>
      <c r="O550" s="301">
        <v>0.1615</v>
      </c>
      <c r="P550" s="301">
        <v>0.5556</v>
      </c>
      <c r="R550" s="301">
        <v>2.5512</v>
      </c>
      <c r="S550" s="301">
        <v>0.5522</v>
      </c>
      <c r="U550" s="301">
        <v>0.4939</v>
      </c>
      <c r="V550" s="301">
        <v>0.5458</v>
      </c>
      <c r="W550" s="301">
        <v>0.9508</v>
      </c>
      <c r="X550" s="301">
        <v>2.1184</v>
      </c>
      <c r="Y550" s="301">
        <v>1.7635</v>
      </c>
      <c r="Z550" s="301">
        <v>1.2</v>
      </c>
      <c r="AA550" s="301">
        <v>5.9146</v>
      </c>
      <c r="AB550" s="301">
        <v>0.0781</v>
      </c>
      <c r="AC550" s="301">
        <v>0.2481</v>
      </c>
      <c r="AD550" s="301">
        <v>0.352</v>
      </c>
      <c r="AE550" s="301">
        <v>1.6053</v>
      </c>
      <c r="AF550" s="301">
        <v>1.0268</v>
      </c>
      <c r="AG550" s="301">
        <v>0.1035</v>
      </c>
      <c r="AH550" s="301">
        <v>3.2205</v>
      </c>
      <c r="AI550" s="301">
        <v>0.293</v>
      </c>
      <c r="AJ550" s="301">
        <v>0.5106</v>
      </c>
      <c r="AK550" s="301">
        <v>4.7804</v>
      </c>
      <c r="AL550">
        <v>43</v>
      </c>
      <c r="AM550" t="s">
        <v>426</v>
      </c>
      <c r="AN550" t="str">
        <f aca="true" t="shared" si="0" ref="AN550:AN570">CONCATENATE(AL550,AM550)</f>
        <v>43/A/NBP/2013</v>
      </c>
    </row>
    <row r="551" spans="1:40" ht="15">
      <c r="A551" s="540">
        <v>41337</v>
      </c>
      <c r="B551" s="301">
        <v>0.1067</v>
      </c>
      <c r="C551" s="301">
        <v>3.1837</v>
      </c>
      <c r="D551" s="301">
        <v>3.2259</v>
      </c>
      <c r="E551" s="301">
        <v>0.4104</v>
      </c>
      <c r="F551" s="301">
        <v>3.0921</v>
      </c>
      <c r="G551" s="301">
        <v>2.6141</v>
      </c>
      <c r="H551" s="301">
        <v>2.552</v>
      </c>
      <c r="I551" s="301">
        <v>4.135</v>
      </c>
      <c r="J551" s="301">
        <v>1.3935</v>
      </c>
      <c r="K551" s="301">
        <v>3.3737</v>
      </c>
      <c r="L551" s="301">
        <v>4.7815</v>
      </c>
      <c r="M551" s="301">
        <v>0.3908</v>
      </c>
      <c r="N551" s="301">
        <v>3.4015</v>
      </c>
      <c r="O551" s="301">
        <v>0.1609</v>
      </c>
      <c r="P551" s="301">
        <v>0.5546</v>
      </c>
      <c r="R551" s="301">
        <v>2.5525</v>
      </c>
      <c r="S551" s="301">
        <v>0.5553</v>
      </c>
      <c r="U551" s="301">
        <v>0.494</v>
      </c>
      <c r="V551" s="301">
        <v>0.5448</v>
      </c>
      <c r="W551" s="301">
        <v>0.9471</v>
      </c>
      <c r="X551" s="301">
        <v>2.1142</v>
      </c>
      <c r="Y551" s="301">
        <v>1.7648</v>
      </c>
      <c r="Z551" s="301">
        <v>1.1976</v>
      </c>
      <c r="AA551" s="301">
        <v>5.9029</v>
      </c>
      <c r="AB551" s="301">
        <v>0.078</v>
      </c>
      <c r="AC551" s="301">
        <v>0.2486</v>
      </c>
      <c r="AD551" s="301">
        <v>0.3502</v>
      </c>
      <c r="AE551" s="301">
        <v>1.6058</v>
      </c>
      <c r="AF551" s="301">
        <v>1.0247</v>
      </c>
      <c r="AG551" s="301">
        <v>0.1034</v>
      </c>
      <c r="AH551" s="301">
        <v>3.2141</v>
      </c>
      <c r="AI551" s="301">
        <v>0.2913</v>
      </c>
      <c r="AJ551" s="301">
        <v>0.5114</v>
      </c>
      <c r="AK551" s="301">
        <v>4.795</v>
      </c>
      <c r="AL551">
        <v>44</v>
      </c>
      <c r="AM551" t="s">
        <v>426</v>
      </c>
      <c r="AN551" t="str">
        <f t="shared" si="0"/>
        <v>44/A/NBP/2013</v>
      </c>
    </row>
    <row r="552" spans="1:40" ht="15">
      <c r="A552" s="540">
        <v>41338</v>
      </c>
      <c r="B552" s="301">
        <v>0.1062</v>
      </c>
      <c r="C552" s="301">
        <v>3.1665</v>
      </c>
      <c r="D552" s="301">
        <v>3.2401</v>
      </c>
      <c r="E552" s="301">
        <v>0.4083</v>
      </c>
      <c r="F552" s="301">
        <v>3.086</v>
      </c>
      <c r="G552" s="301">
        <v>2.6235</v>
      </c>
      <c r="H552" s="301">
        <v>2.5418</v>
      </c>
      <c r="I552" s="301">
        <v>4.1361</v>
      </c>
      <c r="J552" s="301">
        <v>1.3864</v>
      </c>
      <c r="K552" s="301">
        <v>3.3691</v>
      </c>
      <c r="L552" s="301">
        <v>4.8077</v>
      </c>
      <c r="M552" s="301">
        <v>0.3889</v>
      </c>
      <c r="N552" s="301">
        <v>3.4006</v>
      </c>
      <c r="O552" s="301">
        <v>0.1611</v>
      </c>
      <c r="P552" s="301">
        <v>0.5547</v>
      </c>
      <c r="R552" s="301">
        <v>2.5453</v>
      </c>
      <c r="S552" s="301">
        <v>0.5556</v>
      </c>
      <c r="U552" s="301">
        <v>0.496</v>
      </c>
      <c r="V552" s="301">
        <v>0.5447</v>
      </c>
      <c r="W552" s="301">
        <v>0.9481</v>
      </c>
      <c r="X552" s="301">
        <v>2.1148</v>
      </c>
      <c r="Y552" s="301">
        <v>1.763</v>
      </c>
      <c r="Z552" s="301">
        <v>1.1979</v>
      </c>
      <c r="AA552" s="301">
        <v>5.9011</v>
      </c>
      <c r="AB552" s="301">
        <v>0.0777</v>
      </c>
      <c r="AC552" s="301">
        <v>0.2489</v>
      </c>
      <c r="AD552" s="301">
        <v>0.3482</v>
      </c>
      <c r="AE552" s="301">
        <v>1.6049</v>
      </c>
      <c r="AF552" s="301">
        <v>1.0207</v>
      </c>
      <c r="AG552" s="301">
        <v>0.1033</v>
      </c>
      <c r="AH552" s="301">
        <v>3.215</v>
      </c>
      <c r="AI552" s="301">
        <v>0.2914</v>
      </c>
      <c r="AJ552" s="301">
        <v>0.509</v>
      </c>
      <c r="AK552" s="301">
        <v>4.7898</v>
      </c>
      <c r="AL552">
        <v>45</v>
      </c>
      <c r="AM552" t="s">
        <v>426</v>
      </c>
      <c r="AN552" t="str">
        <f t="shared" si="0"/>
        <v>45/A/NBP/2013</v>
      </c>
    </row>
    <row r="553" spans="1:40" ht="15">
      <c r="A553" s="540">
        <v>41339</v>
      </c>
      <c r="B553" s="301">
        <v>0.1065</v>
      </c>
      <c r="C553" s="301">
        <v>3.166</v>
      </c>
      <c r="D553" s="301">
        <v>3.2517</v>
      </c>
      <c r="E553" s="301">
        <v>0.4083</v>
      </c>
      <c r="F553" s="301">
        <v>3.0798</v>
      </c>
      <c r="G553" s="301">
        <v>2.6316</v>
      </c>
      <c r="H553" s="301">
        <v>2.5415</v>
      </c>
      <c r="I553" s="301">
        <v>4.1269</v>
      </c>
      <c r="J553" s="301">
        <v>1.377</v>
      </c>
      <c r="K553" s="301">
        <v>3.351</v>
      </c>
      <c r="L553" s="301">
        <v>4.7735</v>
      </c>
      <c r="M553" s="301">
        <v>0.3892</v>
      </c>
      <c r="N553" s="301">
        <v>3.389</v>
      </c>
      <c r="O553" s="301">
        <v>0.1616</v>
      </c>
      <c r="P553" s="301">
        <v>0.5535</v>
      </c>
      <c r="R553" s="301">
        <v>2.5334</v>
      </c>
      <c r="S553" s="301">
        <v>0.5554</v>
      </c>
      <c r="U553" s="301">
        <v>0.4962</v>
      </c>
      <c r="V553" s="301">
        <v>0.5435</v>
      </c>
      <c r="W553" s="301">
        <v>0.9464</v>
      </c>
      <c r="X553" s="301">
        <v>2.1101</v>
      </c>
      <c r="Y553" s="301">
        <v>1.7665</v>
      </c>
      <c r="Z553" s="301">
        <v>1.1952</v>
      </c>
      <c r="AA553" s="301">
        <v>5.888</v>
      </c>
      <c r="AB553" s="301">
        <v>0.0778</v>
      </c>
      <c r="AC553" s="301">
        <v>0.2495</v>
      </c>
      <c r="AD553" s="301">
        <v>0.3502</v>
      </c>
      <c r="AE553" s="301">
        <v>1.6101</v>
      </c>
      <c r="AF553" s="301">
        <v>1.0198</v>
      </c>
      <c r="AG553" s="301">
        <v>0.1031</v>
      </c>
      <c r="AH553" s="301">
        <v>3.2611</v>
      </c>
      <c r="AI553" s="301">
        <v>0.2924</v>
      </c>
      <c r="AJ553" s="301">
        <v>0.5092</v>
      </c>
      <c r="AK553" s="301">
        <v>4.7796</v>
      </c>
      <c r="AL553">
        <v>46</v>
      </c>
      <c r="AM553" t="s">
        <v>426</v>
      </c>
      <c r="AN553" t="str">
        <f t="shared" si="0"/>
        <v>46/A/NBP/2013</v>
      </c>
    </row>
    <row r="554" spans="1:40" ht="15">
      <c r="A554" s="540">
        <v>41340</v>
      </c>
      <c r="B554" s="301">
        <v>0.107</v>
      </c>
      <c r="C554" s="301">
        <v>3.1808</v>
      </c>
      <c r="D554" s="301">
        <v>3.2646</v>
      </c>
      <c r="E554" s="301">
        <v>0.4101</v>
      </c>
      <c r="F554" s="301">
        <v>3.0856</v>
      </c>
      <c r="G554" s="301">
        <v>2.6377</v>
      </c>
      <c r="H554" s="301">
        <v>2.5507</v>
      </c>
      <c r="I554" s="301">
        <v>4.1472</v>
      </c>
      <c r="J554" s="301">
        <v>1.3866</v>
      </c>
      <c r="K554" s="301">
        <v>3.363</v>
      </c>
      <c r="L554" s="301">
        <v>4.7696</v>
      </c>
      <c r="M554" s="301">
        <v>0.3914</v>
      </c>
      <c r="N554" s="301">
        <v>3.3779</v>
      </c>
      <c r="O554" s="301">
        <v>0.1624</v>
      </c>
      <c r="P554" s="301">
        <v>0.5563</v>
      </c>
      <c r="R554" s="301">
        <v>2.542</v>
      </c>
      <c r="S554" s="301">
        <v>0.5576</v>
      </c>
      <c r="U554" s="301">
        <v>0.4991</v>
      </c>
      <c r="V554" s="301">
        <v>0.5462</v>
      </c>
      <c r="W554" s="301">
        <v>0.9524</v>
      </c>
      <c r="X554" s="301">
        <v>2.1205</v>
      </c>
      <c r="Y554" s="301">
        <v>1.7693</v>
      </c>
      <c r="Z554" s="301">
        <v>1.2011</v>
      </c>
      <c r="AA554" s="301">
        <v>5.9136</v>
      </c>
      <c r="AB554" s="301">
        <v>0.078</v>
      </c>
      <c r="AC554" s="301">
        <v>0.2492</v>
      </c>
      <c r="AD554" s="301">
        <v>0.3489</v>
      </c>
      <c r="AE554" s="301">
        <v>1.614</v>
      </c>
      <c r="AF554" s="301">
        <v>1.0237</v>
      </c>
      <c r="AG554" s="301">
        <v>0.1036</v>
      </c>
      <c r="AH554" s="301">
        <v>3.2914</v>
      </c>
      <c r="AI554" s="301">
        <v>0.2927</v>
      </c>
      <c r="AJ554" s="301">
        <v>0.5114</v>
      </c>
      <c r="AK554" s="301">
        <v>4.8002</v>
      </c>
      <c r="AL554">
        <v>47</v>
      </c>
      <c r="AM554" t="s">
        <v>426</v>
      </c>
      <c r="AN554" t="str">
        <f t="shared" si="0"/>
        <v>47/A/NBP/2013</v>
      </c>
    </row>
    <row r="555" spans="1:40" ht="15">
      <c r="A555" s="540">
        <v>41341</v>
      </c>
      <c r="B555" s="301">
        <v>0.1065</v>
      </c>
      <c r="C555" s="301">
        <v>3.169</v>
      </c>
      <c r="D555" s="301">
        <v>3.2507</v>
      </c>
      <c r="E555" s="301">
        <v>0.4085</v>
      </c>
      <c r="F555" s="301">
        <v>3.0727</v>
      </c>
      <c r="G555" s="301">
        <v>2.6215</v>
      </c>
      <c r="H555" s="301">
        <v>2.544</v>
      </c>
      <c r="I555" s="301">
        <v>4.1497</v>
      </c>
      <c r="J555" s="301">
        <v>1.3911</v>
      </c>
      <c r="K555" s="301">
        <v>3.3583</v>
      </c>
      <c r="L555" s="301">
        <v>4.7618</v>
      </c>
      <c r="M555" s="301">
        <v>0.3897</v>
      </c>
      <c r="N555" s="301">
        <v>3.3172</v>
      </c>
      <c r="O555" s="301">
        <v>0.1631</v>
      </c>
      <c r="P555" s="301">
        <v>0.5565</v>
      </c>
      <c r="R555" s="301">
        <v>2.5051</v>
      </c>
      <c r="S555" s="301">
        <v>0.5581</v>
      </c>
      <c r="U555" s="301">
        <v>0.4991</v>
      </c>
      <c r="V555" s="301">
        <v>0.5465</v>
      </c>
      <c r="W555" s="301">
        <v>0.9525</v>
      </c>
      <c r="X555" s="301">
        <v>2.1217</v>
      </c>
      <c r="Y555" s="301">
        <v>1.7636</v>
      </c>
      <c r="Z555" s="301">
        <v>1.2018</v>
      </c>
      <c r="AA555" s="301">
        <v>5.9205</v>
      </c>
      <c r="AB555" s="301">
        <v>0.0779</v>
      </c>
      <c r="AC555" s="301">
        <v>0.2484</v>
      </c>
      <c r="AD555" s="301">
        <v>0.3478</v>
      </c>
      <c r="AE555" s="301">
        <v>1.6156</v>
      </c>
      <c r="AF555" s="301">
        <v>1.0202</v>
      </c>
      <c r="AG555" s="301">
        <v>0.1032</v>
      </c>
      <c r="AH555" s="301">
        <v>3.2713</v>
      </c>
      <c r="AI555" s="301">
        <v>0.2908</v>
      </c>
      <c r="AJ555" s="301">
        <v>0.5099</v>
      </c>
      <c r="AK555" s="301">
        <v>4.8021</v>
      </c>
      <c r="AL555">
        <v>48</v>
      </c>
      <c r="AM555" t="s">
        <v>426</v>
      </c>
      <c r="AN555" t="str">
        <f t="shared" si="0"/>
        <v>48/A/NBP/2013</v>
      </c>
    </row>
    <row r="556" spans="1:40" ht="15">
      <c r="A556" s="540">
        <v>41344</v>
      </c>
      <c r="B556" s="301">
        <v>0.1071</v>
      </c>
      <c r="C556" s="301">
        <v>3.1828</v>
      </c>
      <c r="D556" s="301">
        <v>3.2571</v>
      </c>
      <c r="E556" s="301">
        <v>0.4104</v>
      </c>
      <c r="F556" s="301">
        <v>3.095</v>
      </c>
      <c r="G556" s="301">
        <v>2.6101</v>
      </c>
      <c r="H556" s="301">
        <v>2.5494</v>
      </c>
      <c r="I556" s="301">
        <v>4.139</v>
      </c>
      <c r="J556" s="301">
        <v>1.3687</v>
      </c>
      <c r="K556" s="301">
        <v>3.3475</v>
      </c>
      <c r="L556" s="301">
        <v>4.7482</v>
      </c>
      <c r="M556" s="301">
        <v>0.3913</v>
      </c>
      <c r="N556" s="301">
        <v>3.3119</v>
      </c>
      <c r="O556" s="301">
        <v>0.162</v>
      </c>
      <c r="P556" s="301">
        <v>0.555</v>
      </c>
      <c r="R556" s="301">
        <v>2.5138</v>
      </c>
      <c r="S556" s="301">
        <v>0.5561</v>
      </c>
      <c r="U556" s="301">
        <v>0.497</v>
      </c>
      <c r="V556" s="301">
        <v>0.5454</v>
      </c>
      <c r="W556" s="301">
        <v>0.9479</v>
      </c>
      <c r="X556" s="301">
        <v>2.1163</v>
      </c>
      <c r="Y556" s="301">
        <v>1.7632</v>
      </c>
      <c r="Z556" s="301">
        <v>1.1987</v>
      </c>
      <c r="AA556" s="301">
        <v>5.9053</v>
      </c>
      <c r="AB556" s="301">
        <v>0.0782</v>
      </c>
      <c r="AC556" s="301">
        <v>0.2519</v>
      </c>
      <c r="AD556" s="301">
        <v>0.3474</v>
      </c>
      <c r="AE556" s="301">
        <v>1.634</v>
      </c>
      <c r="AF556" s="301">
        <v>1.0229</v>
      </c>
      <c r="AG556" s="301">
        <v>0.1035</v>
      </c>
      <c r="AH556" s="301">
        <v>3.2173</v>
      </c>
      <c r="AI556" s="301">
        <v>0.2909</v>
      </c>
      <c r="AJ556" s="301">
        <v>0.5119</v>
      </c>
      <c r="AK556" s="301">
        <v>4.7679</v>
      </c>
      <c r="AL556">
        <v>49</v>
      </c>
      <c r="AM556" t="s">
        <v>426</v>
      </c>
      <c r="AN556" t="str">
        <f t="shared" si="0"/>
        <v>49/A/NBP/2013</v>
      </c>
    </row>
    <row r="557" spans="1:40" ht="15">
      <c r="A557" s="540">
        <v>41345</v>
      </c>
      <c r="B557" s="301">
        <v>0.1076</v>
      </c>
      <c r="C557" s="301">
        <v>3.1887</v>
      </c>
      <c r="D557" s="301">
        <v>3.2818</v>
      </c>
      <c r="E557" s="301">
        <v>0.4112</v>
      </c>
      <c r="F557" s="301">
        <v>3.103</v>
      </c>
      <c r="G557" s="301">
        <v>2.6272</v>
      </c>
      <c r="H557" s="301">
        <v>2.555</v>
      </c>
      <c r="I557" s="301">
        <v>4.15</v>
      </c>
      <c r="J557" s="301">
        <v>1.3599</v>
      </c>
      <c r="K557" s="301">
        <v>3.3643</v>
      </c>
      <c r="L557" s="301">
        <v>4.7364</v>
      </c>
      <c r="M557" s="301">
        <v>0.3927</v>
      </c>
      <c r="N557" s="301">
        <v>3.3217</v>
      </c>
      <c r="O557" s="301">
        <v>0.1619</v>
      </c>
      <c r="P557" s="301">
        <v>0.5565</v>
      </c>
      <c r="R557" s="301">
        <v>2.519</v>
      </c>
      <c r="S557" s="301">
        <v>0.5568</v>
      </c>
      <c r="U557" s="301">
        <v>0.4986</v>
      </c>
      <c r="V557" s="301">
        <v>0.547</v>
      </c>
      <c r="W557" s="301">
        <v>0.9484</v>
      </c>
      <c r="X557" s="301">
        <v>2.1219</v>
      </c>
      <c r="Y557" s="301">
        <v>1.7683</v>
      </c>
      <c r="Z557" s="301">
        <v>1.2019</v>
      </c>
      <c r="AA557" s="301">
        <v>5.9201</v>
      </c>
      <c r="AB557" s="301">
        <v>0.0785</v>
      </c>
      <c r="AC557" s="301">
        <v>0.2542</v>
      </c>
      <c r="AD557" s="301">
        <v>0.3475</v>
      </c>
      <c r="AE557" s="301">
        <v>1.627</v>
      </c>
      <c r="AF557" s="301">
        <v>1.0258</v>
      </c>
      <c r="AG557" s="301">
        <v>0.1037</v>
      </c>
      <c r="AH557" s="301">
        <v>3.2258</v>
      </c>
      <c r="AI557" s="301">
        <v>0.2911</v>
      </c>
      <c r="AJ557" s="301">
        <v>0.513</v>
      </c>
      <c r="AK557" s="301">
        <v>4.7937</v>
      </c>
      <c r="AL557">
        <v>50</v>
      </c>
      <c r="AM557" t="s">
        <v>426</v>
      </c>
      <c r="AN557" t="str">
        <f t="shared" si="0"/>
        <v>50/A/NBP/2013</v>
      </c>
    </row>
    <row r="558" spans="1:40" ht="15">
      <c r="A558" s="540">
        <v>41346</v>
      </c>
      <c r="B558" s="301">
        <v>0.1076</v>
      </c>
      <c r="C558" s="301">
        <v>3.1863</v>
      </c>
      <c r="D558" s="301">
        <v>3.2839</v>
      </c>
      <c r="E558" s="301">
        <v>0.4113</v>
      </c>
      <c r="F558" s="301">
        <v>3.1021</v>
      </c>
      <c r="G558" s="301">
        <v>2.6288</v>
      </c>
      <c r="H558" s="301">
        <v>2.5527</v>
      </c>
      <c r="I558" s="301">
        <v>4.1484</v>
      </c>
      <c r="J558" s="301">
        <v>1.3497</v>
      </c>
      <c r="K558" s="301">
        <v>3.3663</v>
      </c>
      <c r="L558" s="301">
        <v>4.7688</v>
      </c>
      <c r="M558" s="301">
        <v>0.3921</v>
      </c>
      <c r="N558" s="301">
        <v>3.326</v>
      </c>
      <c r="O558" s="301">
        <v>0.1618</v>
      </c>
      <c r="P558" s="301">
        <v>0.5563</v>
      </c>
      <c r="R558" s="301">
        <v>2.518</v>
      </c>
      <c r="S558" s="301">
        <v>0.5572</v>
      </c>
      <c r="U558" s="301">
        <v>0.5008</v>
      </c>
      <c r="V558" s="301">
        <v>0.5468</v>
      </c>
      <c r="W558" s="301">
        <v>0.9466</v>
      </c>
      <c r="X558" s="301">
        <v>2.1211</v>
      </c>
      <c r="Y558" s="301">
        <v>1.7638</v>
      </c>
      <c r="Z558" s="301">
        <v>1.2015</v>
      </c>
      <c r="AA558" s="301">
        <v>5.917</v>
      </c>
      <c r="AB558" s="301">
        <v>0.0785</v>
      </c>
      <c r="AC558" s="301">
        <v>0.2559</v>
      </c>
      <c r="AD558" s="301">
        <v>0.3472</v>
      </c>
      <c r="AE558" s="301">
        <v>1.6189</v>
      </c>
      <c r="AF558" s="301">
        <v>1.0249</v>
      </c>
      <c r="AG558" s="301">
        <v>0.1037</v>
      </c>
      <c r="AH558" s="301">
        <v>3.2246</v>
      </c>
      <c r="AI558" s="301">
        <v>0.29</v>
      </c>
      <c r="AJ558" s="301">
        <v>0.5127</v>
      </c>
      <c r="AK558" s="301">
        <v>4.7724</v>
      </c>
      <c r="AL558">
        <v>51</v>
      </c>
      <c r="AM558" t="s">
        <v>426</v>
      </c>
      <c r="AN558" t="str">
        <f t="shared" si="0"/>
        <v>51/A/NBP/2013</v>
      </c>
    </row>
    <row r="559" spans="1:40" ht="15">
      <c r="A559" s="540">
        <v>41347</v>
      </c>
      <c r="B559" s="301">
        <v>0.108</v>
      </c>
      <c r="C559" s="301">
        <v>3.2</v>
      </c>
      <c r="D559" s="301">
        <v>3.3104</v>
      </c>
      <c r="E559" s="301">
        <v>0.4125</v>
      </c>
      <c r="F559" s="301">
        <v>3.114</v>
      </c>
      <c r="G559" s="301">
        <v>2.6202</v>
      </c>
      <c r="H559" s="301">
        <v>2.5603</v>
      </c>
      <c r="I559" s="301">
        <v>4.1448</v>
      </c>
      <c r="J559" s="301">
        <v>1.3572</v>
      </c>
      <c r="K559" s="301">
        <v>3.3539</v>
      </c>
      <c r="L559" s="301">
        <v>4.7795</v>
      </c>
      <c r="M559" s="301">
        <v>0.394</v>
      </c>
      <c r="N559" s="301">
        <v>3.3202</v>
      </c>
      <c r="O559" s="301">
        <v>0.1619</v>
      </c>
      <c r="P559" s="301">
        <v>0.5558</v>
      </c>
      <c r="R559" s="301">
        <v>2.5227</v>
      </c>
      <c r="S559" s="301">
        <v>0.5526</v>
      </c>
      <c r="U559" s="301">
        <v>0.4965</v>
      </c>
      <c r="V559" s="301">
        <v>0.5463</v>
      </c>
      <c r="W559" s="301">
        <v>0.9426</v>
      </c>
      <c r="X559" s="301">
        <v>2.1192</v>
      </c>
      <c r="Y559" s="301">
        <v>1.7643</v>
      </c>
      <c r="Z559" s="301">
        <v>1.2004</v>
      </c>
      <c r="AA559" s="301">
        <v>5.911</v>
      </c>
      <c r="AB559" s="301">
        <v>0.0788</v>
      </c>
      <c r="AC559" s="301">
        <v>0.2578</v>
      </c>
      <c r="AD559" s="301">
        <v>0.346</v>
      </c>
      <c r="AE559" s="301">
        <v>1.6213</v>
      </c>
      <c r="AF559" s="301">
        <v>1.0282</v>
      </c>
      <c r="AG559" s="301">
        <v>0.104</v>
      </c>
      <c r="AH559" s="301">
        <v>3.2218</v>
      </c>
      <c r="AI559" s="301">
        <v>0.2889</v>
      </c>
      <c r="AJ559" s="301">
        <v>0.5148</v>
      </c>
      <c r="AK559" s="301">
        <v>4.7981</v>
      </c>
      <c r="AL559">
        <v>52</v>
      </c>
      <c r="AM559" t="s">
        <v>426</v>
      </c>
      <c r="AN559" t="str">
        <f t="shared" si="0"/>
        <v>52/A/NBP/2013</v>
      </c>
    </row>
    <row r="560" spans="1:40" ht="15">
      <c r="A560" s="540">
        <v>41348</v>
      </c>
      <c r="B560" s="301">
        <v>0.1079</v>
      </c>
      <c r="C560" s="301">
        <v>3.1868</v>
      </c>
      <c r="D560" s="301">
        <v>3.3043</v>
      </c>
      <c r="E560" s="301">
        <v>0.4108</v>
      </c>
      <c r="F560" s="301">
        <v>3.1197</v>
      </c>
      <c r="G560" s="301">
        <v>2.6184</v>
      </c>
      <c r="H560" s="301">
        <v>2.5533</v>
      </c>
      <c r="I560" s="301">
        <v>4.1595</v>
      </c>
      <c r="J560" s="301">
        <v>1.3652</v>
      </c>
      <c r="K560" s="301">
        <v>3.377</v>
      </c>
      <c r="L560" s="301">
        <v>4.826</v>
      </c>
      <c r="M560" s="301">
        <v>0.3925</v>
      </c>
      <c r="N560" s="301">
        <v>3.312</v>
      </c>
      <c r="O560" s="301">
        <v>0.1629</v>
      </c>
      <c r="P560" s="301">
        <v>0.5577</v>
      </c>
      <c r="R560" s="301">
        <v>2.5495</v>
      </c>
      <c r="S560" s="301">
        <v>0.5506</v>
      </c>
      <c r="U560" s="301">
        <v>0.4977</v>
      </c>
      <c r="V560" s="301">
        <v>0.5486</v>
      </c>
      <c r="W560" s="301">
        <v>0.9468</v>
      </c>
      <c r="X560" s="301">
        <v>2.1268</v>
      </c>
      <c r="Y560" s="301">
        <v>1.7621</v>
      </c>
      <c r="Z560" s="301">
        <v>1.2047</v>
      </c>
      <c r="AA560" s="301">
        <v>5.9303</v>
      </c>
      <c r="AB560" s="301">
        <v>0.0785</v>
      </c>
      <c r="AC560" s="301">
        <v>0.2565</v>
      </c>
      <c r="AD560" s="301">
        <v>0.3472</v>
      </c>
      <c r="AE560" s="301">
        <v>1.6145</v>
      </c>
      <c r="AF560" s="301">
        <v>1.0211</v>
      </c>
      <c r="AG560" s="301">
        <v>0.1038</v>
      </c>
      <c r="AH560" s="301">
        <v>3.2332</v>
      </c>
      <c r="AI560" s="301">
        <v>0.2869</v>
      </c>
      <c r="AJ560" s="301">
        <v>0.5129</v>
      </c>
      <c r="AK560" s="301">
        <v>4.816</v>
      </c>
      <c r="AL560">
        <v>53</v>
      </c>
      <c r="AM560" t="s">
        <v>426</v>
      </c>
      <c r="AN560" t="str">
        <f t="shared" si="0"/>
        <v>53/A/NBP/2013</v>
      </c>
    </row>
    <row r="561" spans="1:40" ht="15">
      <c r="A561" s="540">
        <v>41351</v>
      </c>
      <c r="B561" s="301">
        <v>0.1084</v>
      </c>
      <c r="C561" s="301">
        <v>3.2015</v>
      </c>
      <c r="D561" s="301">
        <v>3.3225</v>
      </c>
      <c r="E561" s="301">
        <v>0.4126</v>
      </c>
      <c r="F561" s="301">
        <v>3.129</v>
      </c>
      <c r="G561" s="301">
        <v>2.6377</v>
      </c>
      <c r="H561" s="301">
        <v>2.5608</v>
      </c>
      <c r="I561" s="301">
        <v>4.1505</v>
      </c>
      <c r="J561" s="301">
        <v>1.3493</v>
      </c>
      <c r="K561" s="301">
        <v>3.3969</v>
      </c>
      <c r="L561" s="301">
        <v>4.8448</v>
      </c>
      <c r="M561" s="301">
        <v>0.3941</v>
      </c>
      <c r="N561" s="301">
        <v>3.3712</v>
      </c>
      <c r="O561" s="301">
        <v>0.162</v>
      </c>
      <c r="P561" s="301">
        <v>0.5567</v>
      </c>
      <c r="R561" s="301">
        <v>2.5502</v>
      </c>
      <c r="S561" s="301">
        <v>0.553</v>
      </c>
      <c r="U561" s="301">
        <v>0.4971</v>
      </c>
      <c r="V561" s="301">
        <v>0.5471</v>
      </c>
      <c r="W561" s="301">
        <v>0.9395</v>
      </c>
      <c r="X561" s="301">
        <v>2.1221</v>
      </c>
      <c r="Y561" s="301">
        <v>1.7669</v>
      </c>
      <c r="Z561" s="301">
        <v>1.2021</v>
      </c>
      <c r="AA561" s="301">
        <v>5.9183</v>
      </c>
      <c r="AB561" s="301">
        <v>0.0787</v>
      </c>
      <c r="AC561" s="301">
        <v>0.2565</v>
      </c>
      <c r="AD561" s="301">
        <v>0.3482</v>
      </c>
      <c r="AE561" s="301">
        <v>1.6121</v>
      </c>
      <c r="AF561" s="301">
        <v>1.0225</v>
      </c>
      <c r="AG561" s="301">
        <v>0.1038</v>
      </c>
      <c r="AH561" s="301">
        <v>3.2681</v>
      </c>
      <c r="AI561" s="301">
        <v>0.2873</v>
      </c>
      <c r="AJ561" s="301">
        <v>0.5151</v>
      </c>
      <c r="AK561" s="301">
        <v>4.7789</v>
      </c>
      <c r="AL561">
        <v>54</v>
      </c>
      <c r="AM561" t="s">
        <v>426</v>
      </c>
      <c r="AN561" t="str">
        <f t="shared" si="0"/>
        <v>54/A/NBP/2013</v>
      </c>
    </row>
    <row r="562" spans="1:40" ht="15">
      <c r="A562" s="540">
        <v>41352</v>
      </c>
      <c r="B562" s="301">
        <v>0.1092</v>
      </c>
      <c r="C562" s="301">
        <v>3.2055</v>
      </c>
      <c r="D562" s="301">
        <v>3.3228</v>
      </c>
      <c r="E562" s="301">
        <v>0.4136</v>
      </c>
      <c r="F562" s="301">
        <v>3.1325</v>
      </c>
      <c r="G562" s="301">
        <v>2.643</v>
      </c>
      <c r="H562" s="301">
        <v>2.5638</v>
      </c>
      <c r="I562" s="301">
        <v>4.1465</v>
      </c>
      <c r="J562" s="301">
        <v>1.3576</v>
      </c>
      <c r="K562" s="301">
        <v>3.386</v>
      </c>
      <c r="L562" s="301">
        <v>4.8455</v>
      </c>
      <c r="M562" s="301">
        <v>0.3941</v>
      </c>
      <c r="N562" s="301">
        <v>3.361</v>
      </c>
      <c r="O562" s="301">
        <v>0.1621</v>
      </c>
      <c r="P562" s="301">
        <v>0.5561</v>
      </c>
      <c r="R562" s="301">
        <v>2.5493</v>
      </c>
      <c r="S562" s="301">
        <v>0.552</v>
      </c>
      <c r="U562" s="301">
        <v>0.4974</v>
      </c>
      <c r="V562" s="301">
        <v>0.5464</v>
      </c>
      <c r="W562" s="301">
        <v>0.9406</v>
      </c>
      <c r="X562" s="301">
        <v>2.1201</v>
      </c>
      <c r="Y562" s="301">
        <v>1.7652</v>
      </c>
      <c r="Z562" s="301">
        <v>1.2009</v>
      </c>
      <c r="AA562" s="301">
        <v>5.9117</v>
      </c>
      <c r="AB562" s="301">
        <v>0.0787</v>
      </c>
      <c r="AC562" s="301">
        <v>0.258</v>
      </c>
      <c r="AD562" s="301">
        <v>0.3477</v>
      </c>
      <c r="AE562" s="301">
        <v>1.6138</v>
      </c>
      <c r="AF562" s="301">
        <v>1.0263</v>
      </c>
      <c r="AG562" s="301">
        <v>0.1039</v>
      </c>
      <c r="AH562" s="301">
        <v>3.265</v>
      </c>
      <c r="AI562" s="301">
        <v>0.2881</v>
      </c>
      <c r="AJ562" s="301">
        <v>0.5156</v>
      </c>
      <c r="AK562" s="301">
        <v>4.819</v>
      </c>
      <c r="AL562">
        <v>55</v>
      </c>
      <c r="AM562" t="s">
        <v>426</v>
      </c>
      <c r="AN562" t="str">
        <f t="shared" si="0"/>
        <v>55/A/NBP/2013</v>
      </c>
    </row>
    <row r="563" spans="1:40" ht="15">
      <c r="A563" s="540">
        <v>41353</v>
      </c>
      <c r="B563" s="301">
        <v>0.1106</v>
      </c>
      <c r="C563" s="301">
        <v>3.2169</v>
      </c>
      <c r="D563" s="301">
        <v>3.3414</v>
      </c>
      <c r="E563" s="301">
        <v>0.4146</v>
      </c>
      <c r="F563" s="301">
        <v>3.1386</v>
      </c>
      <c r="G563" s="301">
        <v>2.645</v>
      </c>
      <c r="H563" s="301">
        <v>2.5729</v>
      </c>
      <c r="I563" s="301">
        <v>4.1538</v>
      </c>
      <c r="J563" s="301">
        <v>1.366</v>
      </c>
      <c r="K563" s="301">
        <v>3.3999</v>
      </c>
      <c r="L563" s="301">
        <v>4.8702</v>
      </c>
      <c r="M563" s="301">
        <v>0.3958</v>
      </c>
      <c r="N563" s="301">
        <v>3.3753</v>
      </c>
      <c r="O563" s="301">
        <v>0.1619</v>
      </c>
      <c r="P563" s="301">
        <v>0.5573</v>
      </c>
      <c r="R563" s="301">
        <v>2.5546</v>
      </c>
      <c r="S563" s="301">
        <v>0.5522</v>
      </c>
      <c r="U563" s="301">
        <v>0.4994</v>
      </c>
      <c r="V563" s="301">
        <v>0.5471</v>
      </c>
      <c r="W563" s="301">
        <v>0.9405</v>
      </c>
      <c r="X563" s="301">
        <v>2.1238</v>
      </c>
      <c r="Y563" s="301">
        <v>1.7667</v>
      </c>
      <c r="Z563" s="301">
        <v>1.203</v>
      </c>
      <c r="AA563" s="301">
        <v>5.9205</v>
      </c>
      <c r="AB563" s="301">
        <v>0.079</v>
      </c>
      <c r="AC563" s="301">
        <v>0.2596</v>
      </c>
      <c r="AD563" s="301">
        <v>0.3487</v>
      </c>
      <c r="AE563" s="301">
        <v>1.6191</v>
      </c>
      <c r="AF563" s="301">
        <v>1.0305</v>
      </c>
      <c r="AG563" s="301">
        <v>0.1041</v>
      </c>
      <c r="AH563" s="301">
        <v>3.3171</v>
      </c>
      <c r="AI563" s="301">
        <v>0.2883</v>
      </c>
      <c r="AJ563" s="301">
        <v>0.518</v>
      </c>
      <c r="AK563" s="301">
        <v>4.8203</v>
      </c>
      <c r="AL563">
        <v>56</v>
      </c>
      <c r="AM563" t="s">
        <v>426</v>
      </c>
      <c r="AN563" t="str">
        <f t="shared" si="0"/>
        <v>56/A/NBP/2013</v>
      </c>
    </row>
    <row r="564" spans="1:40" ht="15">
      <c r="A564" s="540">
        <v>41354</v>
      </c>
      <c r="B564" s="301">
        <v>0.1109</v>
      </c>
      <c r="C564" s="301">
        <v>3.2387</v>
      </c>
      <c r="D564" s="301">
        <v>3.3658</v>
      </c>
      <c r="E564" s="301">
        <v>0.4172</v>
      </c>
      <c r="F564" s="301">
        <v>3.162</v>
      </c>
      <c r="G564" s="301">
        <v>2.6885</v>
      </c>
      <c r="H564" s="301">
        <v>2.5885</v>
      </c>
      <c r="I564" s="301">
        <v>4.1805</v>
      </c>
      <c r="J564" s="301">
        <v>1.3707</v>
      </c>
      <c r="K564" s="301">
        <v>3.424</v>
      </c>
      <c r="L564" s="301">
        <v>4.913</v>
      </c>
      <c r="M564" s="301">
        <v>0.3983</v>
      </c>
      <c r="N564" s="301">
        <v>3.3937</v>
      </c>
      <c r="O564" s="301">
        <v>0.1623</v>
      </c>
      <c r="P564" s="301">
        <v>0.5609</v>
      </c>
      <c r="R564" s="301">
        <v>2.5734</v>
      </c>
      <c r="S564" s="301">
        <v>0.5537</v>
      </c>
      <c r="U564" s="301">
        <v>0.4993</v>
      </c>
      <c r="V564" s="301">
        <v>0.5504</v>
      </c>
      <c r="W564" s="301">
        <v>0.9455</v>
      </c>
      <c r="X564" s="301">
        <v>2.1375</v>
      </c>
      <c r="Y564" s="301">
        <v>1.7797</v>
      </c>
      <c r="Z564" s="301">
        <v>1.2108</v>
      </c>
      <c r="AA564" s="301">
        <v>5.9577</v>
      </c>
      <c r="AB564" s="301">
        <v>0.0794</v>
      </c>
      <c r="AC564" s="301">
        <v>0.2626</v>
      </c>
      <c r="AD564" s="301">
        <v>0.3475</v>
      </c>
      <c r="AE564" s="301">
        <v>1.6295</v>
      </c>
      <c r="AF564" s="301">
        <v>1.0375</v>
      </c>
      <c r="AG564" s="301">
        <v>0.1047</v>
      </c>
      <c r="AH564" s="301">
        <v>3.3218</v>
      </c>
      <c r="AI564" s="301">
        <v>0.2903</v>
      </c>
      <c r="AJ564" s="301">
        <v>0.5211</v>
      </c>
      <c r="AK564" s="301">
        <v>4.8466</v>
      </c>
      <c r="AL564">
        <v>57</v>
      </c>
      <c r="AM564" t="s">
        <v>426</v>
      </c>
      <c r="AN564" t="str">
        <f t="shared" si="0"/>
        <v>57/A/NBP/2013</v>
      </c>
    </row>
    <row r="565" spans="1:40" ht="15">
      <c r="A565" s="540">
        <v>41355</v>
      </c>
      <c r="B565" s="301">
        <v>0.1104</v>
      </c>
      <c r="C565" s="301">
        <v>3.2361</v>
      </c>
      <c r="D565" s="301">
        <v>3.3784</v>
      </c>
      <c r="E565" s="301">
        <v>0.4168</v>
      </c>
      <c r="F565" s="301">
        <v>3.1573</v>
      </c>
      <c r="G565" s="301">
        <v>2.6933</v>
      </c>
      <c r="H565" s="301">
        <v>2.5894</v>
      </c>
      <c r="I565" s="301">
        <v>4.186</v>
      </c>
      <c r="J565" s="301">
        <v>1.3596</v>
      </c>
      <c r="K565" s="301">
        <v>3.4257</v>
      </c>
      <c r="L565" s="301">
        <v>4.9224</v>
      </c>
      <c r="M565" s="301">
        <v>0.3981</v>
      </c>
      <c r="N565" s="301">
        <v>3.4275</v>
      </c>
      <c r="O565" s="301">
        <v>0.1622</v>
      </c>
      <c r="P565" s="301">
        <v>0.5617</v>
      </c>
      <c r="R565" s="301">
        <v>2.6097</v>
      </c>
      <c r="S565" s="301">
        <v>0.5556</v>
      </c>
      <c r="U565" s="301">
        <v>0.4978</v>
      </c>
      <c r="V565" s="301">
        <v>0.5511</v>
      </c>
      <c r="W565" s="301">
        <v>0.9454</v>
      </c>
      <c r="X565" s="301">
        <v>2.1403</v>
      </c>
      <c r="Y565" s="301">
        <v>1.7806</v>
      </c>
      <c r="Z565" s="301">
        <v>1.2123</v>
      </c>
      <c r="AA565" s="301">
        <v>5.9664</v>
      </c>
      <c r="AB565" s="301">
        <v>0.0791</v>
      </c>
      <c r="AC565" s="301">
        <v>0.2606</v>
      </c>
      <c r="AD565" s="301">
        <v>0.3466</v>
      </c>
      <c r="AE565" s="301">
        <v>1.61</v>
      </c>
      <c r="AF565" s="301">
        <v>1.0397</v>
      </c>
      <c r="AG565" s="301">
        <v>0.1047</v>
      </c>
      <c r="AH565" s="301">
        <v>3.3249</v>
      </c>
      <c r="AI565" s="301">
        <v>0.2891</v>
      </c>
      <c r="AJ565" s="301">
        <v>0.5209</v>
      </c>
      <c r="AK565" s="301">
        <v>4.8701</v>
      </c>
      <c r="AL565">
        <v>58</v>
      </c>
      <c r="AM565" t="s">
        <v>426</v>
      </c>
      <c r="AN565" t="str">
        <f t="shared" si="0"/>
        <v>58/A/NBP/2013</v>
      </c>
    </row>
    <row r="566" spans="1:40" ht="15">
      <c r="A566" s="540">
        <v>41358</v>
      </c>
      <c r="B566" s="301">
        <v>0.1092</v>
      </c>
      <c r="C566" s="301">
        <v>3.195</v>
      </c>
      <c r="D566" s="301">
        <v>3.3452</v>
      </c>
      <c r="E566" s="301">
        <v>0.4116</v>
      </c>
      <c r="F566" s="301">
        <v>3.1303</v>
      </c>
      <c r="G566" s="301">
        <v>2.6698</v>
      </c>
      <c r="H566" s="301">
        <v>2.572</v>
      </c>
      <c r="I566" s="301">
        <v>4.1586</v>
      </c>
      <c r="J566" s="301">
        <v>1.3604</v>
      </c>
      <c r="K566" s="301">
        <v>3.4019</v>
      </c>
      <c r="L566" s="301">
        <v>4.8599</v>
      </c>
      <c r="M566" s="301">
        <v>0.3928</v>
      </c>
      <c r="N566" s="301">
        <v>3.3726</v>
      </c>
      <c r="O566" s="301">
        <v>0.1614</v>
      </c>
      <c r="P566" s="301">
        <v>0.558</v>
      </c>
      <c r="R566" s="301">
        <v>2.5943</v>
      </c>
      <c r="S566" s="301">
        <v>0.551</v>
      </c>
      <c r="U566" s="301">
        <v>0.4928</v>
      </c>
      <c r="V566" s="301">
        <v>0.5477</v>
      </c>
      <c r="W566" s="301">
        <v>0.9417</v>
      </c>
      <c r="X566" s="301">
        <v>2.1263</v>
      </c>
      <c r="Y566" s="301">
        <v>1.7604</v>
      </c>
      <c r="Z566" s="301">
        <v>1.2044</v>
      </c>
      <c r="AA566" s="301">
        <v>5.9239</v>
      </c>
      <c r="AB566" s="301">
        <v>0.0783</v>
      </c>
      <c r="AC566" s="301">
        <v>0.2591</v>
      </c>
      <c r="AD566" s="301">
        <v>0.3456</v>
      </c>
      <c r="AE566" s="301">
        <v>1.5896</v>
      </c>
      <c r="AF566" s="301">
        <v>1.0312</v>
      </c>
      <c r="AG566" s="301">
        <v>0.104</v>
      </c>
      <c r="AH566" s="301">
        <v>3.285</v>
      </c>
      <c r="AI566" s="301">
        <v>0.2876</v>
      </c>
      <c r="AJ566" s="301">
        <v>0.5144</v>
      </c>
      <c r="AK566" s="301">
        <v>4.831</v>
      </c>
      <c r="AL566">
        <v>59</v>
      </c>
      <c r="AM566" t="s">
        <v>426</v>
      </c>
      <c r="AN566" t="str">
        <f t="shared" si="0"/>
        <v>59/A/NBP/2013</v>
      </c>
    </row>
    <row r="567" spans="1:40" ht="15">
      <c r="A567" s="540">
        <v>41359</v>
      </c>
      <c r="B567" s="301">
        <v>0.1105</v>
      </c>
      <c r="C567" s="301">
        <v>3.2427</v>
      </c>
      <c r="D567" s="301">
        <v>3.3961</v>
      </c>
      <c r="E567" s="301">
        <v>0.4179</v>
      </c>
      <c r="F567" s="301">
        <v>3.1764</v>
      </c>
      <c r="G567" s="301">
        <v>2.7074</v>
      </c>
      <c r="H567" s="301">
        <v>2.6136</v>
      </c>
      <c r="I567" s="301">
        <v>4.1723</v>
      </c>
      <c r="J567" s="301">
        <v>1.3639</v>
      </c>
      <c r="K567" s="301">
        <v>3.4184</v>
      </c>
      <c r="L567" s="301">
        <v>4.9213</v>
      </c>
      <c r="M567" s="301">
        <v>0.3984</v>
      </c>
      <c r="N567" s="301">
        <v>3.4432</v>
      </c>
      <c r="O567" s="301">
        <v>0.162</v>
      </c>
      <c r="P567" s="301">
        <v>0.5599</v>
      </c>
      <c r="R567" s="301">
        <v>2.6118</v>
      </c>
      <c r="S567" s="301">
        <v>0.5569</v>
      </c>
      <c r="U567" s="301">
        <v>0.4994</v>
      </c>
      <c r="V567" s="301">
        <v>0.5495</v>
      </c>
      <c r="W567" s="301">
        <v>0.9456</v>
      </c>
      <c r="X567" s="301">
        <v>2.1333</v>
      </c>
      <c r="Y567" s="301">
        <v>1.7842</v>
      </c>
      <c r="Z567" s="301">
        <v>1.2084</v>
      </c>
      <c r="AA567" s="301">
        <v>5.9426</v>
      </c>
      <c r="AB567" s="301">
        <v>0.0791</v>
      </c>
      <c r="AC567" s="301">
        <v>0.2626</v>
      </c>
      <c r="AD567" s="301">
        <v>0.3502</v>
      </c>
      <c r="AE567" s="301">
        <v>1.6106</v>
      </c>
      <c r="AF567" s="301">
        <v>1.0474</v>
      </c>
      <c r="AG567" s="301">
        <v>0.105</v>
      </c>
      <c r="AH567" s="301">
        <v>3.3338</v>
      </c>
      <c r="AI567" s="301">
        <v>0.2927</v>
      </c>
      <c r="AJ567" s="301">
        <v>0.5221</v>
      </c>
      <c r="AK567" s="301">
        <v>4.858</v>
      </c>
      <c r="AL567">
        <v>60</v>
      </c>
      <c r="AM567" t="s">
        <v>426</v>
      </c>
      <c r="AN567" t="str">
        <f t="shared" si="0"/>
        <v>60/A/NBP/2013</v>
      </c>
    </row>
    <row r="568" spans="1:40" ht="15">
      <c r="A568" s="540">
        <v>41360</v>
      </c>
      <c r="B568" s="301">
        <v>0.1114</v>
      </c>
      <c r="C568" s="301">
        <v>3.2635</v>
      </c>
      <c r="D568" s="301">
        <v>3.4121</v>
      </c>
      <c r="E568" s="301">
        <v>0.4205</v>
      </c>
      <c r="F568" s="301">
        <v>3.2076</v>
      </c>
      <c r="G568" s="301">
        <v>2.7299</v>
      </c>
      <c r="H568" s="301">
        <v>2.6236</v>
      </c>
      <c r="I568" s="301">
        <v>4.1779</v>
      </c>
      <c r="J568" s="301">
        <v>1.3745</v>
      </c>
      <c r="K568" s="301">
        <v>3.4304</v>
      </c>
      <c r="L568" s="301">
        <v>4.9355</v>
      </c>
      <c r="M568" s="301">
        <v>0.3998</v>
      </c>
      <c r="N568" s="301">
        <v>3.4518</v>
      </c>
      <c r="O568" s="301">
        <v>0.1624</v>
      </c>
      <c r="P568" s="301">
        <v>0.5606</v>
      </c>
      <c r="R568" s="301">
        <v>2.6194</v>
      </c>
      <c r="S568" s="301">
        <v>0.5596</v>
      </c>
      <c r="U568" s="301">
        <v>0.5036</v>
      </c>
      <c r="V568" s="301">
        <v>0.5502</v>
      </c>
      <c r="W568" s="301">
        <v>0.9486</v>
      </c>
      <c r="X568" s="301">
        <v>2.1362</v>
      </c>
      <c r="Y568" s="301">
        <v>1.7941</v>
      </c>
      <c r="Z568" s="301">
        <v>1.21</v>
      </c>
      <c r="AA568" s="301">
        <v>5.9565</v>
      </c>
      <c r="AB568" s="301">
        <v>0.0799</v>
      </c>
      <c r="AC568" s="301">
        <v>0.2638</v>
      </c>
      <c r="AD568" s="301">
        <v>0.3513</v>
      </c>
      <c r="AE568" s="301">
        <v>1.6171</v>
      </c>
      <c r="AF568" s="301">
        <v>1.0524</v>
      </c>
      <c r="AG568" s="301">
        <v>0.1055</v>
      </c>
      <c r="AH568" s="301">
        <v>3.3396</v>
      </c>
      <c r="AI568" s="301">
        <v>0.2937</v>
      </c>
      <c r="AJ568" s="301">
        <v>0.5252</v>
      </c>
      <c r="AK568" s="301">
        <v>4.8732</v>
      </c>
      <c r="AL568">
        <v>61</v>
      </c>
      <c r="AM568" t="s">
        <v>426</v>
      </c>
      <c r="AN568" t="str">
        <f t="shared" si="0"/>
        <v>61/A/NBP/2013</v>
      </c>
    </row>
    <row r="569" spans="1:40" ht="15">
      <c r="A569" s="540">
        <v>41361</v>
      </c>
      <c r="B569" s="301">
        <v>0.1119</v>
      </c>
      <c r="C569" s="301">
        <v>3.2773</v>
      </c>
      <c r="D569" s="301">
        <v>3.4189</v>
      </c>
      <c r="E569" s="301">
        <v>0.4222</v>
      </c>
      <c r="F569" s="301">
        <v>3.2257</v>
      </c>
      <c r="G569" s="301">
        <v>2.7468</v>
      </c>
      <c r="H569" s="301">
        <v>2.6386</v>
      </c>
      <c r="I569" s="301">
        <v>4.1866</v>
      </c>
      <c r="J569" s="301">
        <v>1.3754</v>
      </c>
      <c r="K569" s="301">
        <v>3.4349</v>
      </c>
      <c r="L569" s="301">
        <v>4.9707</v>
      </c>
      <c r="M569" s="301">
        <v>0.4027</v>
      </c>
      <c r="N569" s="301">
        <v>3.4878</v>
      </c>
      <c r="O569" s="301">
        <v>0.1625</v>
      </c>
      <c r="P569" s="301">
        <v>0.5616</v>
      </c>
      <c r="R569" s="301">
        <v>2.6426</v>
      </c>
      <c r="S569" s="301">
        <v>0.5582</v>
      </c>
      <c r="U569" s="301">
        <v>0.5018</v>
      </c>
      <c r="V569" s="301">
        <v>0.5513</v>
      </c>
      <c r="W569" s="301">
        <v>0.9477</v>
      </c>
      <c r="X569" s="301">
        <v>2.1406</v>
      </c>
      <c r="Y569" s="301">
        <v>1.805</v>
      </c>
      <c r="Z569" s="301">
        <v>1.2125</v>
      </c>
      <c r="AA569" s="301">
        <v>5.9681</v>
      </c>
      <c r="AB569" s="301">
        <v>0.0803</v>
      </c>
      <c r="AC569" s="301">
        <v>0.2652</v>
      </c>
      <c r="AD569" s="301">
        <v>0.3543</v>
      </c>
      <c r="AE569" s="301">
        <v>1.6279</v>
      </c>
      <c r="AF569" s="301">
        <v>1.0587</v>
      </c>
      <c r="AG569" s="301">
        <v>0.1055</v>
      </c>
      <c r="AH569" s="301">
        <v>3.3709</v>
      </c>
      <c r="AI569" s="301">
        <v>0.2945</v>
      </c>
      <c r="AJ569" s="301">
        <v>0.5275</v>
      </c>
      <c r="AK569" s="301">
        <v>4.9059</v>
      </c>
      <c r="AL569">
        <v>62</v>
      </c>
      <c r="AM569" t="s">
        <v>426</v>
      </c>
      <c r="AN569" t="str">
        <f t="shared" si="0"/>
        <v>62/A/NBP/2013</v>
      </c>
    </row>
    <row r="570" spans="1:40" ht="15">
      <c r="A570" s="540">
        <v>41362</v>
      </c>
      <c r="B570" s="301">
        <v>0.1112</v>
      </c>
      <c r="C570" s="301">
        <v>3.259</v>
      </c>
      <c r="D570" s="301">
        <v>3.3934</v>
      </c>
      <c r="E570" s="301">
        <v>0.4198</v>
      </c>
      <c r="F570" s="301">
        <v>3.2044</v>
      </c>
      <c r="G570" s="301">
        <v>2.7258</v>
      </c>
      <c r="H570" s="301">
        <v>2.6263</v>
      </c>
      <c r="I570" s="301">
        <v>4.1774</v>
      </c>
      <c r="J570" s="301">
        <v>1.3726</v>
      </c>
      <c r="K570" s="301">
        <v>3.4323</v>
      </c>
      <c r="L570" s="301">
        <v>4.9528</v>
      </c>
      <c r="M570" s="301">
        <v>0.4006</v>
      </c>
      <c r="N570" s="301">
        <v>3.4646</v>
      </c>
      <c r="O570" s="301">
        <v>0.1621</v>
      </c>
      <c r="P570" s="301">
        <v>0.5604</v>
      </c>
      <c r="R570" s="301">
        <v>2.6341</v>
      </c>
      <c r="S570" s="301">
        <v>0.5584</v>
      </c>
      <c r="U570" s="301">
        <v>0.4999</v>
      </c>
      <c r="V570" s="301">
        <v>0.5501</v>
      </c>
      <c r="W570" s="301">
        <v>0.9461</v>
      </c>
      <c r="X570" s="301">
        <v>2.1359</v>
      </c>
      <c r="Y570" s="301">
        <v>1.7994</v>
      </c>
      <c r="Z570" s="301">
        <v>1.2099</v>
      </c>
      <c r="AA570" s="301">
        <v>5.9567</v>
      </c>
      <c r="AB570" s="301">
        <v>0.0798</v>
      </c>
      <c r="AC570" s="301">
        <v>0.264</v>
      </c>
      <c r="AD570" s="301">
        <v>0.3524</v>
      </c>
      <c r="AE570" s="301">
        <v>1.6099</v>
      </c>
      <c r="AF570" s="301">
        <v>1.0535</v>
      </c>
      <c r="AG570" s="301">
        <v>0.105</v>
      </c>
      <c r="AH570" s="301">
        <v>3.3634</v>
      </c>
      <c r="AI570" s="301">
        <v>0.2932</v>
      </c>
      <c r="AJ570" s="301">
        <v>0.5247</v>
      </c>
      <c r="AK570" s="301">
        <v>4.887</v>
      </c>
      <c r="AL570">
        <v>63</v>
      </c>
      <c r="AM570" t="s">
        <v>426</v>
      </c>
      <c r="AN570" t="str">
        <f t="shared" si="0"/>
        <v>63/A/NBP/2013</v>
      </c>
    </row>
    <row r="571" ht="12.75"/>
    <row r="572" spans="1:40" ht="15">
      <c r="A572" s="541" t="s">
        <v>414</v>
      </c>
      <c r="B572" s="542" t="s">
        <v>306</v>
      </c>
      <c r="C572" s="542" t="s">
        <v>307</v>
      </c>
      <c r="D572" s="542" t="s">
        <v>308</v>
      </c>
      <c r="E572" s="542" t="s">
        <v>309</v>
      </c>
      <c r="F572" s="542" t="s">
        <v>310</v>
      </c>
      <c r="G572" s="542" t="s">
        <v>311</v>
      </c>
      <c r="H572" s="542" t="s">
        <v>312</v>
      </c>
      <c r="I572" s="542" t="s">
        <v>313</v>
      </c>
      <c r="J572" s="542" t="s">
        <v>314</v>
      </c>
      <c r="K572" s="542" t="s">
        <v>315</v>
      </c>
      <c r="L572" s="542" t="s">
        <v>316</v>
      </c>
      <c r="M572" s="542" t="s">
        <v>317</v>
      </c>
      <c r="N572" s="542" t="s">
        <v>318</v>
      </c>
      <c r="O572" s="542" t="s">
        <v>319</v>
      </c>
      <c r="P572" s="542" t="s">
        <v>320</v>
      </c>
      <c r="Q572" s="542"/>
      <c r="R572" s="542" t="s">
        <v>321</v>
      </c>
      <c r="S572" s="542" t="s">
        <v>322</v>
      </c>
      <c r="T572" s="542"/>
      <c r="U572" s="542" t="s">
        <v>323</v>
      </c>
      <c r="V572" s="542" t="s">
        <v>324</v>
      </c>
      <c r="W572" s="542" t="s">
        <v>325</v>
      </c>
      <c r="X572" s="542" t="s">
        <v>326</v>
      </c>
      <c r="Y572" s="542" t="s">
        <v>327</v>
      </c>
      <c r="Z572" s="542" t="s">
        <v>328</v>
      </c>
      <c r="AA572" s="542" t="s">
        <v>329</v>
      </c>
      <c r="AB572" s="542" t="s">
        <v>330</v>
      </c>
      <c r="AC572" s="542" t="s">
        <v>331</v>
      </c>
      <c r="AD572" s="542" t="s">
        <v>332</v>
      </c>
      <c r="AE572" s="542" t="s">
        <v>333</v>
      </c>
      <c r="AF572" s="542" t="s">
        <v>334</v>
      </c>
      <c r="AG572" s="542" t="s">
        <v>335</v>
      </c>
      <c r="AH572" s="542" t="s">
        <v>336</v>
      </c>
      <c r="AI572" s="542" t="s">
        <v>337</v>
      </c>
      <c r="AJ572" s="542" t="s">
        <v>338</v>
      </c>
      <c r="AK572" s="542" t="s">
        <v>339</v>
      </c>
      <c r="AL572" s="542" t="s">
        <v>340</v>
      </c>
      <c r="AM572" s="542" t="s">
        <v>425</v>
      </c>
      <c r="AN572" s="542"/>
    </row>
    <row r="573" spans="1:40" ht="15">
      <c r="A573" s="466"/>
      <c r="B573" s="466" t="s">
        <v>270</v>
      </c>
      <c r="C573" s="466" t="s">
        <v>271</v>
      </c>
      <c r="D573" s="466" t="s">
        <v>272</v>
      </c>
      <c r="E573" s="466" t="s">
        <v>273</v>
      </c>
      <c r="F573" s="466" t="s">
        <v>274</v>
      </c>
      <c r="G573" s="466" t="s">
        <v>275</v>
      </c>
      <c r="H573" s="466" t="s">
        <v>276</v>
      </c>
      <c r="I573" s="466" t="s">
        <v>277</v>
      </c>
      <c r="J573" s="466" t="s">
        <v>278</v>
      </c>
      <c r="K573" s="466" t="s">
        <v>279</v>
      </c>
      <c r="L573" s="466" t="s">
        <v>280</v>
      </c>
      <c r="M573" s="466" t="s">
        <v>281</v>
      </c>
      <c r="N573" s="466" t="s">
        <v>282</v>
      </c>
      <c r="O573" s="466" t="s">
        <v>283</v>
      </c>
      <c r="P573" s="466" t="s">
        <v>284</v>
      </c>
      <c r="Q573" s="466"/>
      <c r="R573" s="466" t="s">
        <v>286</v>
      </c>
      <c r="S573" s="466" t="s">
        <v>287</v>
      </c>
      <c r="T573" s="466"/>
      <c r="U573" s="466" t="s">
        <v>289</v>
      </c>
      <c r="V573" s="466" t="s">
        <v>290</v>
      </c>
      <c r="W573" s="466" t="s">
        <v>291</v>
      </c>
      <c r="X573" s="466" t="s">
        <v>292</v>
      </c>
      <c r="Y573" s="466" t="s">
        <v>293</v>
      </c>
      <c r="Z573" s="466" t="s">
        <v>294</v>
      </c>
      <c r="AA573" s="466" t="s">
        <v>295</v>
      </c>
      <c r="AB573" s="466" t="s">
        <v>415</v>
      </c>
      <c r="AC573" s="466" t="s">
        <v>297</v>
      </c>
      <c r="AD573" s="466" t="s">
        <v>298</v>
      </c>
      <c r="AE573" s="466" t="s">
        <v>299</v>
      </c>
      <c r="AF573" s="466" t="s">
        <v>300</v>
      </c>
      <c r="AG573" s="466" t="s">
        <v>301</v>
      </c>
      <c r="AH573" s="466" t="s">
        <v>302</v>
      </c>
      <c r="AI573" s="466" t="s">
        <v>416</v>
      </c>
      <c r="AJ573" s="466" t="s">
        <v>417</v>
      </c>
      <c r="AK573" s="466" t="s">
        <v>305</v>
      </c>
      <c r="AL573" s="466"/>
      <c r="AM573" s="466"/>
      <c r="AN573" s="466"/>
    </row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spans="53:62" ht="12.75">
      <c r="BA1488" s="301"/>
      <c r="BB1488" s="301"/>
      <c r="BJ1488" s="301"/>
    </row>
    <row r="1489" spans="53:62" ht="12.75">
      <c r="BA1489" s="301"/>
      <c r="BB1489" s="301"/>
      <c r="BJ1489" s="301"/>
    </row>
    <row r="1490" spans="53:62" ht="12.75">
      <c r="BA1490" s="301"/>
      <c r="BB1490" s="301"/>
      <c r="BJ1490" s="301"/>
    </row>
    <row r="1491" spans="53:62" ht="12.75">
      <c r="BA1491" s="301"/>
      <c r="BB1491" s="301"/>
      <c r="BJ1491" s="301"/>
    </row>
    <row r="1492" spans="53:62" ht="12.75">
      <c r="BA1492" s="301"/>
      <c r="BB1492" s="301"/>
      <c r="BJ1492" s="301"/>
    </row>
    <row r="1493" spans="53:62" ht="12.75">
      <c r="BA1493" s="301"/>
      <c r="BB1493" s="301"/>
      <c r="BJ1493" s="301"/>
    </row>
    <row r="1494" spans="53:62" ht="12.75">
      <c r="BA1494" s="301"/>
      <c r="BB1494" s="301"/>
      <c r="BJ1494" s="301"/>
    </row>
    <row r="1495" spans="53:62" ht="12.75">
      <c r="BA1495" s="301"/>
      <c r="BB1495" s="301"/>
      <c r="BJ1495" s="301"/>
    </row>
    <row r="1496" spans="53:62" ht="12.75">
      <c r="BA1496" s="301"/>
      <c r="BB1496" s="301"/>
      <c r="BJ1496" s="301"/>
    </row>
    <row r="1497" spans="53:62" ht="12.75">
      <c r="BA1497" s="301"/>
      <c r="BB1497" s="301"/>
      <c r="BJ1497" s="301"/>
    </row>
    <row r="1498" spans="53:62" ht="12.75">
      <c r="BA1498" s="301"/>
      <c r="BB1498" s="301"/>
      <c r="BJ1498" s="301"/>
    </row>
    <row r="1499" spans="53:62" ht="12.75">
      <c r="BA1499" s="301"/>
      <c r="BB1499" s="301"/>
      <c r="BJ1499" s="301"/>
    </row>
    <row r="1500" spans="53:62" ht="12.75">
      <c r="BA1500" s="301"/>
      <c r="BB1500" s="301"/>
      <c r="BJ1500" s="301"/>
    </row>
    <row r="1501" spans="53:62" ht="12.75">
      <c r="BA1501" s="301"/>
      <c r="BB1501" s="301"/>
      <c r="BJ1501" s="301"/>
    </row>
    <row r="1502" spans="53:62" ht="12.75">
      <c r="BA1502" s="301"/>
      <c r="BB1502" s="301"/>
      <c r="BJ1502" s="301"/>
    </row>
    <row r="1503" spans="53:62" ht="12.75">
      <c r="BA1503" s="301"/>
      <c r="BB1503" s="301"/>
      <c r="BJ1503" s="301"/>
    </row>
    <row r="1504" spans="53:62" ht="12.75">
      <c r="BA1504" s="301"/>
      <c r="BB1504" s="301"/>
      <c r="BJ1504" s="301"/>
    </row>
    <row r="1505" spans="53:62" ht="12.75">
      <c r="BA1505" s="301"/>
      <c r="BB1505" s="301"/>
      <c r="BJ1505" s="301"/>
    </row>
    <row r="1506" spans="53:62" ht="12.75">
      <c r="BA1506" s="301"/>
      <c r="BB1506" s="301"/>
      <c r="BJ1506" s="301"/>
    </row>
    <row r="1507" spans="53:62" ht="12.75">
      <c r="BA1507" s="301"/>
      <c r="BB1507" s="301"/>
      <c r="BJ1507" s="301"/>
    </row>
    <row r="1508" spans="53:62" ht="12.75">
      <c r="BA1508" s="301"/>
      <c r="BB1508" s="301"/>
      <c r="BJ1508" s="301"/>
    </row>
    <row r="1509" spans="53:62" ht="12.75">
      <c r="BA1509" s="301"/>
      <c r="BB1509" s="301"/>
      <c r="BJ1509" s="301"/>
    </row>
    <row r="1510" spans="53:62" ht="15">
      <c r="BA1510" s="466"/>
      <c r="BB1510" s="466"/>
      <c r="BJ1510" s="466"/>
    </row>
    <row r="1511" spans="53:67" ht="15">
      <c r="BA1511" s="466"/>
      <c r="BB1511" s="466"/>
      <c r="BJ1511" s="466"/>
      <c r="BN1511" s="466"/>
      <c r="BO1511" s="466"/>
    </row>
    <row r="1512" spans="42:60" ht="15">
      <c r="AP1512" s="466"/>
      <c r="AY1512" s="466"/>
      <c r="AZ1512" s="466"/>
      <c r="BH1512" s="466"/>
    </row>
    <row r="1513" spans="42:60" ht="15">
      <c r="AP1513" s="466"/>
      <c r="AY1513" s="466"/>
      <c r="AZ1513" s="466"/>
      <c r="BH1513" s="466"/>
    </row>
    <row r="1514" ht="12.75"/>
    <row r="1515" spans="42:60" ht="12.75">
      <c r="AP1515" s="301"/>
      <c r="AY1515" s="301"/>
      <c r="AZ1515" s="301"/>
      <c r="BH1515" s="301"/>
    </row>
    <row r="1516" spans="42:60" ht="12.75">
      <c r="AP1516" s="301"/>
      <c r="AY1516" s="301"/>
      <c r="AZ1516" s="301"/>
      <c r="BH1516" s="301"/>
    </row>
    <row r="1517" spans="42:60" ht="12.75">
      <c r="AP1517" s="301"/>
      <c r="AY1517" s="301"/>
      <c r="AZ1517" s="301"/>
      <c r="BH1517" s="301"/>
    </row>
    <row r="1518" spans="42:60" ht="12.75">
      <c r="AP1518" s="301"/>
      <c r="AY1518" s="301"/>
      <c r="AZ1518" s="301"/>
      <c r="BH1518" s="301"/>
    </row>
    <row r="1519" spans="42:60" ht="12.75">
      <c r="AP1519" s="301"/>
      <c r="AY1519" s="301"/>
      <c r="AZ1519" s="301"/>
      <c r="BH1519" s="301"/>
    </row>
    <row r="1520" spans="42:60" ht="12.75">
      <c r="AP1520" s="301"/>
      <c r="AY1520" s="301"/>
      <c r="AZ1520" s="301"/>
      <c r="BH1520" s="301"/>
    </row>
    <row r="1521" spans="42:60" ht="12.75">
      <c r="AP1521" s="301"/>
      <c r="AY1521" s="301"/>
      <c r="AZ1521" s="301"/>
      <c r="BH1521" s="301"/>
    </row>
    <row r="1522" spans="42:60" ht="12.75">
      <c r="AP1522" s="301"/>
      <c r="AY1522" s="301"/>
      <c r="AZ1522" s="301"/>
      <c r="BH1522" s="301"/>
    </row>
    <row r="1523" spans="42:60" ht="12.75">
      <c r="AP1523" s="301"/>
      <c r="AY1523" s="301"/>
      <c r="AZ1523" s="301"/>
      <c r="BH1523" s="301"/>
    </row>
    <row r="1524" spans="42:60" ht="12.75">
      <c r="AP1524" s="301"/>
      <c r="AY1524" s="301"/>
      <c r="AZ1524" s="301"/>
      <c r="BH1524" s="301"/>
    </row>
    <row r="1525" spans="42:60" ht="12.75">
      <c r="AP1525" s="301"/>
      <c r="AY1525" s="301"/>
      <c r="AZ1525" s="301"/>
      <c r="BH1525" s="301"/>
    </row>
    <row r="1526" spans="42:60" ht="12.75">
      <c r="AP1526" s="301"/>
      <c r="AY1526" s="301"/>
      <c r="AZ1526" s="301"/>
      <c r="BH1526" s="301"/>
    </row>
    <row r="1527" spans="42:60" ht="12.75">
      <c r="AP1527" s="301"/>
      <c r="AY1527" s="301"/>
      <c r="AZ1527" s="301"/>
      <c r="BH1527" s="301"/>
    </row>
    <row r="1528" spans="42:60" ht="12.75">
      <c r="AP1528" s="301"/>
      <c r="AY1528" s="301"/>
      <c r="AZ1528" s="301"/>
      <c r="BH1528" s="301"/>
    </row>
    <row r="1529" spans="42:60" ht="12.75">
      <c r="AP1529" s="301"/>
      <c r="AY1529" s="301"/>
      <c r="AZ1529" s="301"/>
      <c r="BH1529" s="301"/>
    </row>
    <row r="1530" spans="42:60" ht="12.75">
      <c r="AP1530" s="301"/>
      <c r="AY1530" s="301"/>
      <c r="AZ1530" s="301"/>
      <c r="BH1530" s="301"/>
    </row>
    <row r="1531" spans="42:60" ht="12.75">
      <c r="AP1531" s="301"/>
      <c r="AY1531" s="301"/>
      <c r="AZ1531" s="301"/>
      <c r="BH1531" s="301"/>
    </row>
    <row r="1532" spans="42:60" ht="12.75">
      <c r="AP1532" s="301"/>
      <c r="AY1532" s="301"/>
      <c r="AZ1532" s="301"/>
      <c r="BH1532" s="301"/>
    </row>
    <row r="1533" spans="42:60" ht="12.75">
      <c r="AP1533" s="301"/>
      <c r="AY1533" s="301"/>
      <c r="AZ1533" s="301"/>
      <c r="BH1533" s="301"/>
    </row>
    <row r="1534" ht="12.75"/>
    <row r="1535" spans="51:60" ht="15">
      <c r="AY1535" s="466" t="s">
        <v>427</v>
      </c>
      <c r="AZ1535" s="466" t="s">
        <v>428</v>
      </c>
      <c r="BH1535" s="466" t="s">
        <v>429</v>
      </c>
    </row>
    <row r="1536" spans="51:60" ht="15">
      <c r="AY1536" s="466" t="s">
        <v>430</v>
      </c>
      <c r="AZ1536" s="466" t="s">
        <v>431</v>
      </c>
      <c r="BH1536" s="466" t="s">
        <v>432</v>
      </c>
    </row>
    <row r="1537" spans="51:60" ht="12.75">
      <c r="AY1537" s="301">
        <v>0.8303</v>
      </c>
      <c r="AZ1537" s="301">
        <v>0.6474</v>
      </c>
      <c r="BH1537" s="301">
        <v>5.6681</v>
      </c>
    </row>
    <row r="1538" spans="51:60" ht="12.75">
      <c r="AY1538" s="301">
        <v>0.8243</v>
      </c>
      <c r="AZ1538" s="301">
        <v>0.6405</v>
      </c>
      <c r="BH1538" s="301">
        <v>5.6374</v>
      </c>
    </row>
    <row r="1539" spans="51:60" ht="12.75">
      <c r="AY1539" s="301">
        <v>0.8304</v>
      </c>
      <c r="AZ1539" s="301">
        <v>0.6538</v>
      </c>
      <c r="BH1539" s="301">
        <v>5.6862</v>
      </c>
    </row>
    <row r="1540" spans="51:60" ht="12.75">
      <c r="AY1540" s="301">
        <v>0.8398</v>
      </c>
      <c r="AZ1540" s="301">
        <v>0.6711</v>
      </c>
      <c r="BH1540" s="301">
        <v>5.7635</v>
      </c>
    </row>
    <row r="1541" spans="51:60" ht="12.75">
      <c r="AY1541" s="301">
        <v>0.8365</v>
      </c>
      <c r="AZ1541" s="301">
        <v>0.6684</v>
      </c>
      <c r="BH1541" s="301">
        <v>5.7248</v>
      </c>
    </row>
    <row r="1542" spans="51:60" ht="12.75">
      <c r="AY1542" s="301">
        <v>0.8298</v>
      </c>
      <c r="AZ1542" s="301">
        <v>0.6675</v>
      </c>
      <c r="BH1542" s="301">
        <v>5.7043</v>
      </c>
    </row>
    <row r="1543" spans="51:60" ht="12.75">
      <c r="AY1543" s="301">
        <v>0.8339</v>
      </c>
      <c r="AZ1543" s="301">
        <v>0.6672</v>
      </c>
      <c r="BH1543" s="301">
        <v>5.7461</v>
      </c>
    </row>
    <row r="1544" spans="51:60" ht="12.75">
      <c r="AY1544" s="301">
        <v>0.8243</v>
      </c>
      <c r="AZ1544" s="301">
        <v>0.661</v>
      </c>
      <c r="BH1544" s="301">
        <v>5.6929</v>
      </c>
    </row>
    <row r="1545" spans="51:60" ht="12.75">
      <c r="AY1545" s="301">
        <v>0.8254</v>
      </c>
      <c r="AZ1545" s="301">
        <v>0.6563</v>
      </c>
      <c r="BH1545" s="301">
        <v>5.6442</v>
      </c>
    </row>
    <row r="1546" spans="51:60" ht="12.75">
      <c r="AY1546" s="301">
        <v>0.8267</v>
      </c>
      <c r="AZ1546" s="301">
        <v>0.6548</v>
      </c>
      <c r="BH1546" s="301">
        <v>5.6599</v>
      </c>
    </row>
    <row r="1547" spans="51:60" ht="12.75">
      <c r="AY1547" s="301">
        <v>0.824</v>
      </c>
      <c r="AZ1547" s="301">
        <v>0.6495</v>
      </c>
      <c r="BH1547" s="301">
        <v>5.6435</v>
      </c>
    </row>
    <row r="1548" spans="51:60" ht="12.75">
      <c r="AY1548" s="301">
        <v>0.8332</v>
      </c>
      <c r="AZ1548" s="301">
        <v>0.6545</v>
      </c>
      <c r="BH1548" s="301">
        <v>5.6692</v>
      </c>
    </row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spans="1:40" s="466" customFormat="1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</row>
    <row r="1573" spans="1:40" s="466" customFormat="1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</row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0"/>
  <sheetViews>
    <sheetView showGridLines="0" zoomScalePageLayoutView="0" workbookViewId="0" topLeftCell="A107">
      <selection activeCell="B122" sqref="B122"/>
    </sheetView>
  </sheetViews>
  <sheetFormatPr defaultColWidth="0" defaultRowHeight="12.75"/>
  <cols>
    <col min="1" max="1" width="18.57421875" style="0" customWidth="1"/>
    <col min="2" max="2" width="23.8515625" style="0" customWidth="1"/>
    <col min="3" max="5" width="9.140625" style="0" customWidth="1"/>
    <col min="6" max="16384" width="0" style="0" hidden="1" customWidth="1"/>
  </cols>
  <sheetData>
    <row r="1" spans="1:4" ht="39" thickTop="1">
      <c r="A1" s="291" t="s">
        <v>118</v>
      </c>
      <c r="B1" s="291" t="s">
        <v>119</v>
      </c>
      <c r="C1" s="291" t="s">
        <v>120</v>
      </c>
      <c r="D1" s="292" t="s">
        <v>121</v>
      </c>
    </row>
    <row r="2" spans="1:4" ht="12.75" customHeight="1">
      <c r="A2" s="471" t="s">
        <v>122</v>
      </c>
      <c r="B2" s="472" t="s">
        <v>453</v>
      </c>
      <c r="C2" s="472">
        <v>47</v>
      </c>
      <c r="D2" s="485">
        <v>140</v>
      </c>
    </row>
    <row r="3" spans="1:4" ht="12.75" customHeight="1">
      <c r="A3" s="471" t="s">
        <v>124</v>
      </c>
      <c r="B3" s="472" t="s">
        <v>453</v>
      </c>
      <c r="C3" s="472">
        <v>41</v>
      </c>
      <c r="D3" s="485">
        <v>120</v>
      </c>
    </row>
    <row r="4" spans="1:4" ht="12.75" customHeight="1">
      <c r="A4" s="471" t="s">
        <v>126</v>
      </c>
      <c r="B4" s="472" t="s">
        <v>453</v>
      </c>
      <c r="C4" s="472">
        <v>50</v>
      </c>
      <c r="D4" s="485">
        <v>200</v>
      </c>
    </row>
    <row r="5" spans="1:4" ht="12.75" customHeight="1">
      <c r="A5" s="471" t="s">
        <v>127</v>
      </c>
      <c r="B5" s="472" t="s">
        <v>453</v>
      </c>
      <c r="C5" s="472">
        <v>50</v>
      </c>
      <c r="D5" s="485">
        <v>160</v>
      </c>
    </row>
    <row r="6" spans="1:4" ht="12.75" customHeight="1">
      <c r="A6" s="471" t="s">
        <v>128</v>
      </c>
      <c r="B6" s="472" t="s">
        <v>123</v>
      </c>
      <c r="C6" s="472">
        <v>61</v>
      </c>
      <c r="D6" s="485">
        <v>180</v>
      </c>
    </row>
    <row r="7" spans="1:4" ht="12.75" customHeight="1">
      <c r="A7" s="471" t="s">
        <v>129</v>
      </c>
      <c r="B7" s="472" t="s">
        <v>453</v>
      </c>
      <c r="C7" s="472">
        <v>45</v>
      </c>
      <c r="D7" s="485">
        <v>180</v>
      </c>
    </row>
    <row r="8" spans="1:4" ht="12.75" customHeight="1">
      <c r="A8" s="471" t="s">
        <v>130</v>
      </c>
      <c r="B8" s="472" t="s">
        <v>123</v>
      </c>
      <c r="C8" s="472">
        <v>50</v>
      </c>
      <c r="D8" s="485">
        <v>150</v>
      </c>
    </row>
    <row r="9" spans="1:4" ht="12.75" customHeight="1">
      <c r="A9" s="471" t="s">
        <v>131</v>
      </c>
      <c r="B9" s="472" t="s">
        <v>453</v>
      </c>
      <c r="C9" s="472">
        <v>42</v>
      </c>
      <c r="D9" s="485">
        <v>145</v>
      </c>
    </row>
    <row r="10" spans="1:4" ht="12.75" customHeight="1">
      <c r="A10" s="471" t="s">
        <v>132</v>
      </c>
      <c r="B10" s="472" t="s">
        <v>133</v>
      </c>
      <c r="C10" s="472">
        <v>88</v>
      </c>
      <c r="D10" s="485">
        <v>250</v>
      </c>
    </row>
    <row r="11" spans="1:4" ht="12.75" customHeight="1">
      <c r="A11" s="471" t="s">
        <v>134</v>
      </c>
      <c r="B11" s="472" t="s">
        <v>453</v>
      </c>
      <c r="C11" s="472">
        <v>52</v>
      </c>
      <c r="D11" s="485">
        <v>130</v>
      </c>
    </row>
    <row r="12" spans="1:4" ht="12.75" customHeight="1">
      <c r="A12" s="471" t="s">
        <v>135</v>
      </c>
      <c r="B12" s="472" t="s">
        <v>453</v>
      </c>
      <c r="C12" s="472">
        <v>43</v>
      </c>
      <c r="D12" s="485">
        <v>150</v>
      </c>
    </row>
    <row r="13" spans="1:4" ht="12.75" customHeight="1">
      <c r="A13" s="471" t="s">
        <v>136</v>
      </c>
      <c r="B13" s="472" t="s">
        <v>123</v>
      </c>
      <c r="C13" s="472">
        <v>50</v>
      </c>
      <c r="D13" s="485">
        <v>120</v>
      </c>
    </row>
    <row r="14" spans="1:4" ht="12.75" customHeight="1">
      <c r="A14" s="471" t="s">
        <v>137</v>
      </c>
      <c r="B14" s="472" t="s">
        <v>453</v>
      </c>
      <c r="C14" s="472">
        <v>48</v>
      </c>
      <c r="D14" s="485">
        <v>160</v>
      </c>
    </row>
    <row r="15" spans="1:4" ht="12.75" customHeight="1">
      <c r="A15" s="471" t="s">
        <v>138</v>
      </c>
      <c r="B15" s="472" t="s">
        <v>453</v>
      </c>
      <c r="C15" s="472">
        <v>42</v>
      </c>
      <c r="D15" s="485">
        <v>130</v>
      </c>
    </row>
    <row r="16" spans="1:4" ht="12.75" customHeight="1">
      <c r="A16" s="471" t="s">
        <v>139</v>
      </c>
      <c r="B16" s="472" t="s">
        <v>453</v>
      </c>
      <c r="C16" s="472">
        <v>41</v>
      </c>
      <c r="D16" s="485">
        <v>100</v>
      </c>
    </row>
    <row r="17" spans="1:4" ht="12.75" customHeight="1">
      <c r="A17" s="471" t="s">
        <v>140</v>
      </c>
      <c r="B17" s="472" t="s">
        <v>453</v>
      </c>
      <c r="C17" s="472">
        <v>43</v>
      </c>
      <c r="D17" s="485">
        <v>120</v>
      </c>
    </row>
    <row r="18" spans="1:4" ht="12.75" customHeight="1">
      <c r="A18" s="471" t="s">
        <v>141</v>
      </c>
      <c r="B18" s="472" t="s">
        <v>453</v>
      </c>
      <c r="C18" s="472">
        <v>40</v>
      </c>
      <c r="D18" s="485">
        <v>120</v>
      </c>
    </row>
    <row r="19" spans="1:4" ht="12.75" customHeight="1">
      <c r="A19" s="471" t="s">
        <v>142</v>
      </c>
      <c r="B19" s="472" t="s">
        <v>123</v>
      </c>
      <c r="C19" s="472">
        <v>60</v>
      </c>
      <c r="D19" s="485">
        <v>120</v>
      </c>
    </row>
    <row r="20" spans="1:4" ht="12.75" customHeight="1">
      <c r="A20" s="471" t="s">
        <v>143</v>
      </c>
      <c r="B20" s="472" t="s">
        <v>453</v>
      </c>
      <c r="C20" s="472">
        <v>55</v>
      </c>
      <c r="D20" s="485">
        <v>170</v>
      </c>
    </row>
    <row r="21" spans="1:4" ht="12.75" customHeight="1">
      <c r="A21" s="471" t="s">
        <v>144</v>
      </c>
      <c r="B21" s="472" t="s">
        <v>453</v>
      </c>
      <c r="C21" s="472">
        <v>42</v>
      </c>
      <c r="D21" s="485">
        <v>125</v>
      </c>
    </row>
    <row r="22" spans="1:4" ht="12.75" customHeight="1">
      <c r="A22" s="471" t="s">
        <v>145</v>
      </c>
      <c r="B22" s="472" t="s">
        <v>453</v>
      </c>
      <c r="C22" s="472">
        <v>43</v>
      </c>
      <c r="D22" s="485">
        <v>160</v>
      </c>
    </row>
    <row r="23" spans="1:4" ht="12.75" customHeight="1">
      <c r="A23" s="471" t="s">
        <v>146</v>
      </c>
      <c r="B23" s="472" t="s">
        <v>453</v>
      </c>
      <c r="C23" s="472">
        <v>41</v>
      </c>
      <c r="D23" s="485">
        <v>120</v>
      </c>
    </row>
    <row r="24" spans="1:4" ht="12.75" customHeight="1">
      <c r="A24" s="471" t="s">
        <v>147</v>
      </c>
      <c r="B24" s="472" t="s">
        <v>148</v>
      </c>
      <c r="C24" s="472">
        <v>406</v>
      </c>
      <c r="D24" s="485">
        <v>1300</v>
      </c>
    </row>
    <row r="25" spans="1:4" ht="12.75" customHeight="1">
      <c r="A25" s="471" t="s">
        <v>149</v>
      </c>
      <c r="B25" s="472" t="s">
        <v>123</v>
      </c>
      <c r="C25" s="472">
        <v>55</v>
      </c>
      <c r="D25" s="485">
        <v>150</v>
      </c>
    </row>
    <row r="26" spans="1:4" ht="12.75" customHeight="1">
      <c r="A26" s="471" t="s">
        <v>150</v>
      </c>
      <c r="B26" s="472" t="s">
        <v>123</v>
      </c>
      <c r="C26" s="472">
        <v>44</v>
      </c>
      <c r="D26" s="485">
        <v>110</v>
      </c>
    </row>
    <row r="27" spans="1:4" ht="12.75" customHeight="1">
      <c r="A27" s="471" t="s">
        <v>151</v>
      </c>
      <c r="B27" s="472" t="s">
        <v>453</v>
      </c>
      <c r="C27" s="472">
        <v>41</v>
      </c>
      <c r="D27" s="485">
        <v>100</v>
      </c>
    </row>
    <row r="28" spans="1:4" ht="12.75" customHeight="1">
      <c r="A28" s="471" t="s">
        <v>152</v>
      </c>
      <c r="B28" s="472" t="s">
        <v>123</v>
      </c>
      <c r="C28" s="472">
        <v>55</v>
      </c>
      <c r="D28" s="485">
        <v>300</v>
      </c>
    </row>
    <row r="29" spans="1:4" ht="12.75" customHeight="1">
      <c r="A29" s="471" t="s">
        <v>153</v>
      </c>
      <c r="B29" s="472" t="s">
        <v>453</v>
      </c>
      <c r="C29" s="472">
        <v>48</v>
      </c>
      <c r="D29" s="485">
        <v>160</v>
      </c>
    </row>
    <row r="30" spans="1:4" ht="12.75" customHeight="1">
      <c r="A30" s="471" t="s">
        <v>154</v>
      </c>
      <c r="B30" s="472" t="s">
        <v>453</v>
      </c>
      <c r="C30" s="472">
        <v>50</v>
      </c>
      <c r="D30" s="485">
        <v>180</v>
      </c>
    </row>
    <row r="31" spans="1:4" ht="12.75" customHeight="1">
      <c r="A31" s="471" t="s">
        <v>155</v>
      </c>
      <c r="B31" s="472" t="s">
        <v>156</v>
      </c>
      <c r="C31" s="472">
        <v>35</v>
      </c>
      <c r="D31" s="485">
        <v>200</v>
      </c>
    </row>
    <row r="32" spans="1:4" ht="12.75" customHeight="1">
      <c r="A32" s="471" t="s">
        <v>157</v>
      </c>
      <c r="B32" s="472" t="s">
        <v>453</v>
      </c>
      <c r="C32" s="472">
        <v>48</v>
      </c>
      <c r="D32" s="485">
        <v>140</v>
      </c>
    </row>
    <row r="33" spans="1:4" ht="12.75" customHeight="1">
      <c r="A33" s="471" t="s">
        <v>158</v>
      </c>
      <c r="B33" s="472" t="s">
        <v>453</v>
      </c>
      <c r="C33" s="472">
        <v>43</v>
      </c>
      <c r="D33" s="485">
        <v>140</v>
      </c>
    </row>
    <row r="34" spans="1:4" ht="12.75" customHeight="1">
      <c r="A34" s="471" t="s">
        <v>159</v>
      </c>
      <c r="B34" s="472" t="s">
        <v>453</v>
      </c>
      <c r="C34" s="472">
        <v>50</v>
      </c>
      <c r="D34" s="485">
        <v>160</v>
      </c>
    </row>
    <row r="35" spans="1:4" ht="12.75" customHeight="1">
      <c r="A35" s="471" t="s">
        <v>160</v>
      </c>
      <c r="B35" s="472" t="s">
        <v>123</v>
      </c>
      <c r="C35" s="472">
        <v>55</v>
      </c>
      <c r="D35" s="485">
        <v>250</v>
      </c>
    </row>
    <row r="36" spans="1:4" ht="12.75" customHeight="1">
      <c r="A36" s="471" t="s">
        <v>161</v>
      </c>
      <c r="B36" s="472" t="s">
        <v>453</v>
      </c>
      <c r="C36" s="472">
        <v>38</v>
      </c>
      <c r="D36" s="485">
        <v>190</v>
      </c>
    </row>
    <row r="37" spans="1:4" ht="12.75" customHeight="1">
      <c r="A37" s="471" t="s">
        <v>162</v>
      </c>
      <c r="B37" s="472" t="s">
        <v>453</v>
      </c>
      <c r="C37" s="472">
        <v>41</v>
      </c>
      <c r="D37" s="485">
        <v>110</v>
      </c>
    </row>
    <row r="38" spans="1:4" ht="12.75" customHeight="1">
      <c r="A38" s="471" t="s">
        <v>163</v>
      </c>
      <c r="B38" s="472" t="s">
        <v>123</v>
      </c>
      <c r="C38" s="472">
        <v>60</v>
      </c>
      <c r="D38" s="485">
        <v>120</v>
      </c>
    </row>
    <row r="39" spans="1:4" ht="12.75" customHeight="1">
      <c r="A39" s="471" t="s">
        <v>164</v>
      </c>
      <c r="B39" s="472" t="s">
        <v>453</v>
      </c>
      <c r="C39" s="472">
        <v>41</v>
      </c>
      <c r="D39" s="485">
        <v>95</v>
      </c>
    </row>
    <row r="40" spans="1:4" ht="12.75" customHeight="1">
      <c r="A40" s="471" t="s">
        <v>165</v>
      </c>
      <c r="B40" s="472" t="s">
        <v>453</v>
      </c>
      <c r="C40" s="472">
        <v>52</v>
      </c>
      <c r="D40" s="485">
        <v>160</v>
      </c>
    </row>
    <row r="41" spans="1:4" ht="12.75" customHeight="1">
      <c r="A41" s="471" t="s">
        <v>166</v>
      </c>
      <c r="B41" s="472" t="s">
        <v>453</v>
      </c>
      <c r="C41" s="472">
        <v>56</v>
      </c>
      <c r="D41" s="485">
        <v>160</v>
      </c>
    </row>
    <row r="42" spans="1:4" ht="12.75" customHeight="1">
      <c r="A42" s="471" t="s">
        <v>167</v>
      </c>
      <c r="B42" s="472" t="s">
        <v>453</v>
      </c>
      <c r="C42" s="472">
        <v>50</v>
      </c>
      <c r="D42" s="485">
        <v>150</v>
      </c>
    </row>
    <row r="43" spans="1:4" ht="12.75" customHeight="1">
      <c r="A43" s="471" t="s">
        <v>168</v>
      </c>
      <c r="B43" s="471" t="s">
        <v>169</v>
      </c>
      <c r="C43" s="472">
        <v>7532</v>
      </c>
      <c r="D43" s="485">
        <v>22000</v>
      </c>
    </row>
    <row r="44" spans="1:4" ht="12.75" customHeight="1">
      <c r="A44" s="471" t="s">
        <v>170</v>
      </c>
      <c r="B44" s="472" t="s">
        <v>123</v>
      </c>
      <c r="C44" s="472">
        <v>48</v>
      </c>
      <c r="D44" s="485">
        <v>160</v>
      </c>
    </row>
    <row r="45" spans="1:4" ht="12.75" customHeight="1">
      <c r="A45" s="471" t="s">
        <v>171</v>
      </c>
      <c r="B45" s="472" t="s">
        <v>453</v>
      </c>
      <c r="C45" s="472">
        <v>40</v>
      </c>
      <c r="D45" s="485">
        <v>95</v>
      </c>
    </row>
    <row r="46" spans="1:4" ht="12.75" customHeight="1">
      <c r="A46" s="471" t="s">
        <v>172</v>
      </c>
      <c r="B46" s="472" t="s">
        <v>123</v>
      </c>
      <c r="C46" s="472">
        <v>45</v>
      </c>
      <c r="D46" s="485">
        <v>100</v>
      </c>
    </row>
    <row r="47" spans="1:4" ht="12.75" customHeight="1">
      <c r="A47" s="471" t="s">
        <v>173</v>
      </c>
      <c r="B47" s="471" t="s">
        <v>174</v>
      </c>
      <c r="C47" s="472">
        <v>71</v>
      </c>
      <c r="D47" s="485">
        <v>190</v>
      </c>
    </row>
    <row r="48" spans="1:4" ht="12.75" customHeight="1">
      <c r="A48" s="471" t="s">
        <v>418</v>
      </c>
      <c r="B48" s="472" t="s">
        <v>453</v>
      </c>
      <c r="C48" s="472">
        <v>41</v>
      </c>
      <c r="D48" s="485">
        <v>200</v>
      </c>
    </row>
    <row r="49" spans="1:4" ht="12.75" customHeight="1">
      <c r="A49" s="471" t="s">
        <v>175</v>
      </c>
      <c r="B49" s="472" t="s">
        <v>453</v>
      </c>
      <c r="C49" s="472">
        <v>41</v>
      </c>
      <c r="D49" s="485">
        <v>140</v>
      </c>
    </row>
    <row r="50" spans="1:4" ht="12.75" customHeight="1">
      <c r="A50" s="471" t="s">
        <v>176</v>
      </c>
      <c r="B50" s="472" t="s">
        <v>453</v>
      </c>
      <c r="C50" s="472">
        <v>41</v>
      </c>
      <c r="D50" s="485">
        <v>150</v>
      </c>
    </row>
    <row r="51" spans="1:4" ht="12.75" customHeight="1">
      <c r="A51" s="471" t="s">
        <v>177</v>
      </c>
      <c r="B51" s="472" t="s">
        <v>123</v>
      </c>
      <c r="C51" s="472">
        <v>41</v>
      </c>
      <c r="D51" s="485">
        <v>150</v>
      </c>
    </row>
    <row r="52" spans="1:4" ht="12.75" customHeight="1">
      <c r="A52" s="471" t="s">
        <v>178</v>
      </c>
      <c r="B52" s="472" t="s">
        <v>123</v>
      </c>
      <c r="C52" s="472">
        <v>49</v>
      </c>
      <c r="D52" s="485">
        <v>120</v>
      </c>
    </row>
    <row r="53" spans="1:4" ht="12.75" customHeight="1">
      <c r="A53" s="471" t="s">
        <v>179</v>
      </c>
      <c r="B53" s="472" t="s">
        <v>123</v>
      </c>
      <c r="C53" s="472">
        <v>66</v>
      </c>
      <c r="D53" s="485">
        <v>220</v>
      </c>
    </row>
    <row r="54" spans="1:4" ht="12.75" customHeight="1">
      <c r="A54" s="471" t="s">
        <v>180</v>
      </c>
      <c r="B54" s="472" t="s">
        <v>453</v>
      </c>
      <c r="C54" s="472">
        <v>46</v>
      </c>
      <c r="D54" s="485">
        <v>170</v>
      </c>
    </row>
    <row r="55" spans="1:4" ht="12.75" customHeight="1">
      <c r="A55" s="471" t="s">
        <v>181</v>
      </c>
      <c r="B55" s="472" t="s">
        <v>453</v>
      </c>
      <c r="C55" s="472">
        <v>48</v>
      </c>
      <c r="D55" s="485">
        <v>170</v>
      </c>
    </row>
    <row r="56" spans="1:4" ht="12.75" customHeight="1">
      <c r="A56" s="471" t="s">
        <v>182</v>
      </c>
      <c r="B56" s="472" t="s">
        <v>123</v>
      </c>
      <c r="C56" s="472">
        <v>50</v>
      </c>
      <c r="D56" s="485">
        <v>140</v>
      </c>
    </row>
    <row r="57" spans="1:4" ht="12.75" customHeight="1">
      <c r="A57" s="471" t="s">
        <v>183</v>
      </c>
      <c r="B57" s="472" t="s">
        <v>453</v>
      </c>
      <c r="C57" s="472">
        <v>42</v>
      </c>
      <c r="D57" s="485">
        <v>110</v>
      </c>
    </row>
    <row r="58" spans="1:4" ht="12.75" customHeight="1">
      <c r="A58" s="471" t="s">
        <v>184</v>
      </c>
      <c r="B58" s="472" t="s">
        <v>453</v>
      </c>
      <c r="C58" s="472">
        <v>39</v>
      </c>
      <c r="D58" s="485">
        <v>200</v>
      </c>
    </row>
    <row r="59" spans="1:4" ht="12.75" customHeight="1">
      <c r="A59" s="471" t="s">
        <v>185</v>
      </c>
      <c r="B59" s="472" t="s">
        <v>123</v>
      </c>
      <c r="C59" s="472">
        <v>54</v>
      </c>
      <c r="D59" s="485">
        <v>100</v>
      </c>
    </row>
    <row r="60" spans="1:4" ht="12.75" customHeight="1">
      <c r="A60" s="471" t="s">
        <v>186</v>
      </c>
      <c r="B60" s="472" t="s">
        <v>123</v>
      </c>
      <c r="C60" s="472">
        <v>57</v>
      </c>
      <c r="D60" s="485">
        <v>150</v>
      </c>
    </row>
    <row r="61" spans="1:4" ht="12.75" customHeight="1">
      <c r="A61" s="471" t="s">
        <v>187</v>
      </c>
      <c r="B61" s="472" t="s">
        <v>453</v>
      </c>
      <c r="C61" s="472">
        <v>52</v>
      </c>
      <c r="D61" s="485">
        <v>100</v>
      </c>
    </row>
    <row r="62" spans="1:4" ht="12.75" customHeight="1">
      <c r="A62" s="471" t="s">
        <v>188</v>
      </c>
      <c r="B62" s="471" t="s">
        <v>189</v>
      </c>
      <c r="C62" s="472">
        <v>88</v>
      </c>
      <c r="D62" s="485">
        <v>200</v>
      </c>
    </row>
    <row r="63" spans="1:4" ht="12.75" customHeight="1">
      <c r="A63" s="471" t="s">
        <v>190</v>
      </c>
      <c r="B63" s="472" t="s">
        <v>453</v>
      </c>
      <c r="C63" s="472">
        <v>39</v>
      </c>
      <c r="D63" s="485">
        <v>130</v>
      </c>
    </row>
    <row r="64" spans="1:4" ht="12.75" customHeight="1">
      <c r="A64" s="471" t="s">
        <v>191</v>
      </c>
      <c r="B64" s="472" t="s">
        <v>453</v>
      </c>
      <c r="C64" s="472">
        <v>48</v>
      </c>
      <c r="D64" s="485">
        <v>160</v>
      </c>
    </row>
    <row r="65" spans="1:4" ht="12.75" customHeight="1">
      <c r="A65" s="471" t="s">
        <v>192</v>
      </c>
      <c r="B65" s="472" t="s">
        <v>453</v>
      </c>
      <c r="C65" s="472">
        <v>57</v>
      </c>
      <c r="D65" s="485">
        <v>132</v>
      </c>
    </row>
    <row r="66" spans="1:4" ht="12.75" customHeight="1">
      <c r="A66" s="471" t="s">
        <v>193</v>
      </c>
      <c r="B66" s="472" t="s">
        <v>453</v>
      </c>
      <c r="C66" s="472">
        <v>39</v>
      </c>
      <c r="D66" s="485">
        <v>125</v>
      </c>
    </row>
    <row r="67" spans="1:4" ht="12.75" customHeight="1">
      <c r="A67" s="471" t="s">
        <v>194</v>
      </c>
      <c r="B67" s="472" t="s">
        <v>453</v>
      </c>
      <c r="C67" s="472">
        <v>41</v>
      </c>
      <c r="D67" s="485">
        <v>140</v>
      </c>
    </row>
    <row r="68" spans="1:4" ht="12.75" customHeight="1">
      <c r="A68" s="471" t="s">
        <v>195</v>
      </c>
      <c r="B68" s="472" t="s">
        <v>453</v>
      </c>
      <c r="C68" s="472">
        <v>43</v>
      </c>
      <c r="D68" s="485">
        <v>180</v>
      </c>
    </row>
    <row r="69" spans="1:4" ht="12.75" customHeight="1">
      <c r="A69" s="471" t="s">
        <v>196</v>
      </c>
      <c r="B69" s="472" t="s">
        <v>453</v>
      </c>
      <c r="C69" s="472">
        <v>41</v>
      </c>
      <c r="D69" s="485">
        <v>130</v>
      </c>
    </row>
    <row r="70" spans="1:4" ht="12.75" customHeight="1">
      <c r="A70" s="471" t="s">
        <v>197</v>
      </c>
      <c r="B70" s="472" t="s">
        <v>123</v>
      </c>
      <c r="C70" s="472">
        <v>53</v>
      </c>
      <c r="D70" s="485">
        <v>140</v>
      </c>
    </row>
    <row r="71" spans="1:4" ht="12.75" customHeight="1">
      <c r="A71" s="471" t="s">
        <v>198</v>
      </c>
      <c r="B71" s="472" t="s">
        <v>453</v>
      </c>
      <c r="C71" s="472">
        <v>41</v>
      </c>
      <c r="D71" s="485">
        <v>85</v>
      </c>
    </row>
    <row r="72" spans="1:4" ht="12.75" customHeight="1">
      <c r="A72" s="471" t="s">
        <v>199</v>
      </c>
      <c r="B72" s="472" t="s">
        <v>453</v>
      </c>
      <c r="C72" s="472">
        <v>50</v>
      </c>
      <c r="D72" s="485">
        <v>180</v>
      </c>
    </row>
    <row r="73" spans="1:4" ht="12.75" customHeight="1">
      <c r="A73" s="471" t="s">
        <v>200</v>
      </c>
      <c r="B73" s="472" t="s">
        <v>453</v>
      </c>
      <c r="C73" s="472">
        <v>45</v>
      </c>
      <c r="D73" s="485">
        <v>140</v>
      </c>
    </row>
    <row r="74" spans="1:4" ht="12.75" customHeight="1">
      <c r="A74" s="471" t="s">
        <v>201</v>
      </c>
      <c r="B74" s="472" t="s">
        <v>453</v>
      </c>
      <c r="C74" s="472">
        <v>50</v>
      </c>
      <c r="D74" s="485">
        <v>130</v>
      </c>
    </row>
    <row r="75" spans="1:4" ht="12.75" customHeight="1">
      <c r="A75" s="471" t="s">
        <v>202</v>
      </c>
      <c r="B75" s="472" t="s">
        <v>453</v>
      </c>
      <c r="C75" s="472">
        <v>49</v>
      </c>
      <c r="D75" s="485">
        <v>150</v>
      </c>
    </row>
    <row r="76" spans="1:4" ht="12.75" customHeight="1">
      <c r="A76" s="471" t="s">
        <v>203</v>
      </c>
      <c r="B76" s="472" t="s">
        <v>453</v>
      </c>
      <c r="C76" s="472">
        <v>46</v>
      </c>
      <c r="D76" s="485">
        <v>240</v>
      </c>
    </row>
    <row r="77" spans="1:4" ht="12.75" customHeight="1">
      <c r="A77" s="471" t="s">
        <v>204</v>
      </c>
      <c r="B77" s="471" t="s">
        <v>205</v>
      </c>
      <c r="C77" s="472">
        <v>451</v>
      </c>
      <c r="D77" s="485">
        <v>1500</v>
      </c>
    </row>
    <row r="78" spans="1:4" ht="12.75" customHeight="1">
      <c r="A78" s="471" t="s">
        <v>206</v>
      </c>
      <c r="B78" s="472" t="s">
        <v>123</v>
      </c>
      <c r="C78" s="472">
        <v>58</v>
      </c>
      <c r="D78" s="485">
        <v>180</v>
      </c>
    </row>
    <row r="79" spans="1:4" ht="12.75" customHeight="1">
      <c r="A79" s="471" t="s">
        <v>419</v>
      </c>
      <c r="B79" s="472" t="s">
        <v>453</v>
      </c>
      <c r="C79" s="472">
        <v>40</v>
      </c>
      <c r="D79" s="485">
        <v>240</v>
      </c>
    </row>
    <row r="80" spans="1:4" ht="12.75" customHeight="1">
      <c r="A80" s="471" t="s">
        <v>207</v>
      </c>
      <c r="B80" s="472" t="s">
        <v>453</v>
      </c>
      <c r="C80" s="472">
        <v>38</v>
      </c>
      <c r="D80" s="485">
        <v>200</v>
      </c>
    </row>
    <row r="81" spans="1:4" ht="12.75" customHeight="1">
      <c r="A81" s="471" t="s">
        <v>420</v>
      </c>
      <c r="B81" s="472" t="s">
        <v>453</v>
      </c>
      <c r="C81" s="472">
        <v>50</v>
      </c>
      <c r="D81" s="485">
        <v>150</v>
      </c>
    </row>
    <row r="82" spans="1:4" ht="12.75" customHeight="1">
      <c r="A82" s="471" t="s">
        <v>208</v>
      </c>
      <c r="B82" s="472" t="s">
        <v>123</v>
      </c>
      <c r="C82" s="472">
        <v>52</v>
      </c>
      <c r="D82" s="485">
        <v>140</v>
      </c>
    </row>
    <row r="83" spans="1:4" ht="12.75" customHeight="1">
      <c r="A83" s="471" t="s">
        <v>209</v>
      </c>
      <c r="B83" s="472" t="s">
        <v>123</v>
      </c>
      <c r="C83" s="472">
        <v>50</v>
      </c>
      <c r="D83" s="485">
        <v>150</v>
      </c>
    </row>
    <row r="84" spans="1:4" ht="12.75" customHeight="1">
      <c r="A84" s="471" t="s">
        <v>210</v>
      </c>
      <c r="B84" s="472" t="s">
        <v>453</v>
      </c>
      <c r="C84" s="472">
        <v>49</v>
      </c>
      <c r="D84" s="485">
        <v>120</v>
      </c>
    </row>
    <row r="85" spans="1:4" ht="12.75" customHeight="1">
      <c r="A85" s="471" t="s">
        <v>211</v>
      </c>
      <c r="B85" s="472" t="s">
        <v>123</v>
      </c>
      <c r="C85" s="472">
        <v>52</v>
      </c>
      <c r="D85" s="485">
        <v>275</v>
      </c>
    </row>
    <row r="86" spans="1:4" ht="12.75" customHeight="1">
      <c r="A86" s="471" t="s">
        <v>212</v>
      </c>
      <c r="B86" s="472" t="s">
        <v>453</v>
      </c>
      <c r="C86" s="472">
        <v>48</v>
      </c>
      <c r="D86" s="485">
        <v>200</v>
      </c>
    </row>
    <row r="87" spans="1:4" ht="12.75" customHeight="1">
      <c r="A87" s="471" t="s">
        <v>213</v>
      </c>
      <c r="B87" s="472" t="s">
        <v>453</v>
      </c>
      <c r="C87" s="472">
        <v>38</v>
      </c>
      <c r="D87" s="485">
        <v>100</v>
      </c>
    </row>
    <row r="88" spans="1:4" ht="12.75" customHeight="1">
      <c r="A88" s="471" t="s">
        <v>214</v>
      </c>
      <c r="B88" s="472" t="s">
        <v>453</v>
      </c>
      <c r="C88" s="472">
        <v>48</v>
      </c>
      <c r="D88" s="485">
        <v>174</v>
      </c>
    </row>
    <row r="89" spans="1:4" ht="12.75" customHeight="1">
      <c r="A89" s="471" t="s">
        <v>215</v>
      </c>
      <c r="B89" s="472" t="s">
        <v>453</v>
      </c>
      <c r="C89" s="472">
        <v>44</v>
      </c>
      <c r="D89" s="485">
        <v>120</v>
      </c>
    </row>
    <row r="90" spans="1:4" ht="12.75" customHeight="1">
      <c r="A90" s="471" t="s">
        <v>216</v>
      </c>
      <c r="B90" s="472" t="s">
        <v>453</v>
      </c>
      <c r="C90" s="472">
        <v>40</v>
      </c>
      <c r="D90" s="485">
        <v>100</v>
      </c>
    </row>
    <row r="91" spans="1:4" ht="12.75" customHeight="1">
      <c r="A91" s="471" t="s">
        <v>217</v>
      </c>
      <c r="B91" s="472" t="s">
        <v>123</v>
      </c>
      <c r="C91" s="472">
        <v>56</v>
      </c>
      <c r="D91" s="485">
        <v>230</v>
      </c>
    </row>
    <row r="92" spans="1:4" ht="12.75" customHeight="1">
      <c r="A92" s="471" t="s">
        <v>218</v>
      </c>
      <c r="B92" s="472" t="s">
        <v>453</v>
      </c>
      <c r="C92" s="472">
        <v>43</v>
      </c>
      <c r="D92" s="485">
        <v>120</v>
      </c>
    </row>
    <row r="93" spans="1:4" ht="12.75" customHeight="1">
      <c r="A93" s="471" t="s">
        <v>219</v>
      </c>
      <c r="B93" s="472" t="s">
        <v>453</v>
      </c>
      <c r="C93" s="472">
        <v>41</v>
      </c>
      <c r="D93" s="485">
        <v>130</v>
      </c>
    </row>
    <row r="94" spans="1:4" ht="12.75" customHeight="1">
      <c r="A94" s="471" t="s">
        <v>421</v>
      </c>
      <c r="B94" s="472" t="s">
        <v>123</v>
      </c>
      <c r="C94" s="472">
        <v>59</v>
      </c>
      <c r="D94" s="485">
        <v>350</v>
      </c>
    </row>
    <row r="95" spans="1:4" ht="12.75" customHeight="1">
      <c r="A95" s="471" t="s">
        <v>422</v>
      </c>
      <c r="B95" s="472" t="s">
        <v>123</v>
      </c>
      <c r="C95" s="472">
        <v>59</v>
      </c>
      <c r="D95" s="485">
        <v>200</v>
      </c>
    </row>
    <row r="96" spans="1:4" ht="12.75" customHeight="1">
      <c r="A96" s="471" t="s">
        <v>423</v>
      </c>
      <c r="B96" s="472" t="s">
        <v>123</v>
      </c>
      <c r="C96" s="472">
        <v>59</v>
      </c>
      <c r="D96" s="485">
        <v>300</v>
      </c>
    </row>
    <row r="97" spans="1:4" ht="12.75" customHeight="1">
      <c r="A97" s="471" t="s">
        <v>220</v>
      </c>
      <c r="B97" s="472" t="s">
        <v>123</v>
      </c>
      <c r="C97" s="472">
        <v>50</v>
      </c>
      <c r="D97" s="485">
        <v>150</v>
      </c>
    </row>
    <row r="98" spans="1:4" ht="12.75" customHeight="1">
      <c r="A98" s="471" t="s">
        <v>221</v>
      </c>
      <c r="B98" s="471" t="s">
        <v>189</v>
      </c>
      <c r="C98" s="472">
        <v>88</v>
      </c>
      <c r="D98" s="485">
        <v>200</v>
      </c>
    </row>
    <row r="99" spans="1:4" ht="12.75" customHeight="1">
      <c r="A99" s="471" t="s">
        <v>222</v>
      </c>
      <c r="B99" s="471" t="s">
        <v>223</v>
      </c>
      <c r="C99" s="472">
        <v>459</v>
      </c>
      <c r="D99" s="485">
        <v>1800</v>
      </c>
    </row>
    <row r="100" spans="1:4" ht="12.75" customHeight="1">
      <c r="A100" s="471" t="s">
        <v>224</v>
      </c>
      <c r="B100" s="472" t="s">
        <v>453</v>
      </c>
      <c r="C100" s="472">
        <v>41</v>
      </c>
      <c r="D100" s="485">
        <v>140</v>
      </c>
    </row>
    <row r="101" spans="1:4" ht="12.75" customHeight="1">
      <c r="A101" s="471" t="s">
        <v>225</v>
      </c>
      <c r="B101" s="472" t="s">
        <v>123</v>
      </c>
      <c r="C101" s="472">
        <v>42</v>
      </c>
      <c r="D101" s="485">
        <v>110</v>
      </c>
    </row>
    <row r="102" spans="1:4" ht="12.75" customHeight="1">
      <c r="A102" s="471" t="s">
        <v>226</v>
      </c>
      <c r="B102" s="472" t="s">
        <v>453</v>
      </c>
      <c r="C102" s="472">
        <v>40</v>
      </c>
      <c r="D102" s="485">
        <v>142</v>
      </c>
    </row>
    <row r="103" spans="1:4" ht="12.75" customHeight="1">
      <c r="A103" s="471" t="s">
        <v>227</v>
      </c>
      <c r="B103" s="472" t="s">
        <v>123</v>
      </c>
      <c r="C103" s="472">
        <v>53</v>
      </c>
      <c r="D103" s="485">
        <v>150</v>
      </c>
    </row>
    <row r="104" spans="1:4" ht="12.75" customHeight="1">
      <c r="A104" s="471" t="s">
        <v>228</v>
      </c>
      <c r="B104" s="472" t="s">
        <v>453</v>
      </c>
      <c r="C104" s="472">
        <v>37</v>
      </c>
      <c r="D104" s="485">
        <v>100</v>
      </c>
    </row>
    <row r="105" spans="1:4" ht="12.75" customHeight="1">
      <c r="A105" s="471" t="s">
        <v>229</v>
      </c>
      <c r="B105" s="472" t="s">
        <v>123</v>
      </c>
      <c r="C105" s="472">
        <v>53</v>
      </c>
      <c r="D105" s="485">
        <v>173</v>
      </c>
    </row>
    <row r="106" spans="1:4" ht="12.75" customHeight="1">
      <c r="A106" s="471" t="s">
        <v>230</v>
      </c>
      <c r="B106" s="472" t="s">
        <v>123</v>
      </c>
      <c r="C106" s="472">
        <v>47</v>
      </c>
      <c r="D106" s="485">
        <v>90</v>
      </c>
    </row>
    <row r="107" spans="1:4" ht="12.75" customHeight="1">
      <c r="A107" s="471" t="s">
        <v>231</v>
      </c>
      <c r="B107" s="472" t="s">
        <v>453</v>
      </c>
      <c r="C107" s="472">
        <v>41</v>
      </c>
      <c r="D107" s="485">
        <v>180</v>
      </c>
    </row>
    <row r="108" spans="1:4" ht="12.75" customHeight="1">
      <c r="A108" s="471" t="s">
        <v>232</v>
      </c>
      <c r="B108" s="472" t="s">
        <v>123</v>
      </c>
      <c r="C108" s="472">
        <v>50</v>
      </c>
      <c r="D108" s="485">
        <v>80</v>
      </c>
    </row>
    <row r="109" spans="1:4" ht="12.75" customHeight="1">
      <c r="A109" s="471" t="s">
        <v>233</v>
      </c>
      <c r="B109" s="472" t="s">
        <v>453</v>
      </c>
      <c r="C109" s="472">
        <v>41</v>
      </c>
      <c r="D109" s="485">
        <v>140</v>
      </c>
    </row>
    <row r="110" spans="1:4" ht="12.75" customHeight="1">
      <c r="A110" s="471" t="s">
        <v>234</v>
      </c>
      <c r="B110" s="472" t="s">
        <v>123</v>
      </c>
      <c r="C110" s="472">
        <v>60</v>
      </c>
      <c r="D110" s="485">
        <v>220</v>
      </c>
    </row>
    <row r="111" spans="1:4" ht="12.75" customHeight="1">
      <c r="A111" s="471" t="s">
        <v>235</v>
      </c>
      <c r="B111" s="472" t="s">
        <v>453</v>
      </c>
      <c r="C111" s="472">
        <v>44</v>
      </c>
      <c r="D111" s="485">
        <v>130</v>
      </c>
    </row>
    <row r="112" spans="1:4" ht="12.75" customHeight="1">
      <c r="A112" s="471" t="s">
        <v>236</v>
      </c>
      <c r="B112" s="472" t="s">
        <v>156</v>
      </c>
      <c r="C112" s="472">
        <v>35</v>
      </c>
      <c r="D112" s="485">
        <v>200</v>
      </c>
    </row>
    <row r="113" spans="1:4" ht="12.75" customHeight="1">
      <c r="A113" s="471" t="s">
        <v>237</v>
      </c>
      <c r="B113" s="472" t="s">
        <v>123</v>
      </c>
      <c r="C113" s="472">
        <v>53</v>
      </c>
      <c r="D113" s="485">
        <v>160</v>
      </c>
    </row>
    <row r="114" spans="1:4" ht="12.75" customHeight="1">
      <c r="A114" s="471" t="s">
        <v>238</v>
      </c>
      <c r="B114" s="472" t="s">
        <v>453</v>
      </c>
      <c r="C114" s="472">
        <v>48</v>
      </c>
      <c r="D114" s="485">
        <v>174</v>
      </c>
    </row>
    <row r="115" spans="1:4" ht="12.75" customHeight="1">
      <c r="A115" s="471" t="s">
        <v>239</v>
      </c>
      <c r="B115" s="472" t="s">
        <v>453</v>
      </c>
      <c r="C115" s="472">
        <v>33</v>
      </c>
      <c r="D115" s="485">
        <v>100</v>
      </c>
    </row>
    <row r="116" spans="1:4" ht="12.75" customHeight="1">
      <c r="A116" s="471" t="s">
        <v>240</v>
      </c>
      <c r="B116" s="472" t="s">
        <v>453</v>
      </c>
      <c r="C116" s="472">
        <v>39</v>
      </c>
      <c r="D116" s="485">
        <v>90</v>
      </c>
    </row>
    <row r="117" spans="1:4" ht="12.75" customHeight="1">
      <c r="A117" s="471" t="s">
        <v>241</v>
      </c>
      <c r="B117" s="472" t="s">
        <v>453</v>
      </c>
      <c r="C117" s="472">
        <v>39</v>
      </c>
      <c r="D117" s="485">
        <v>200</v>
      </c>
    </row>
    <row r="118" spans="1:4" ht="12.75">
      <c r="A118" s="471" t="s">
        <v>424</v>
      </c>
      <c r="B118" s="472" t="s">
        <v>453</v>
      </c>
      <c r="C118" s="472">
        <v>41</v>
      </c>
      <c r="D118" s="485">
        <v>140</v>
      </c>
    </row>
    <row r="119" spans="1:5" ht="12.75">
      <c r="A119" s="290"/>
      <c r="B119" s="290"/>
      <c r="C119" s="290"/>
      <c r="D119" s="290"/>
      <c r="E119" s="2"/>
    </row>
    <row r="120" spans="1:5" ht="12.75">
      <c r="A120" s="2" t="s">
        <v>242</v>
      </c>
      <c r="B120" s="2"/>
      <c r="C120" s="2"/>
      <c r="D120" s="2"/>
      <c r="E120" s="2"/>
    </row>
  </sheetData>
  <sheetProtection password="EC14"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233"/>
  <sheetViews>
    <sheetView showGridLines="0" zoomScale="70" zoomScaleNormal="70" zoomScalePageLayoutView="0" workbookViewId="0" topLeftCell="O17">
      <selection activeCell="R22" sqref="R22"/>
    </sheetView>
  </sheetViews>
  <sheetFormatPr defaultColWidth="9.140625" defaultRowHeight="12.75" zeroHeight="1"/>
  <cols>
    <col min="1" max="1" width="0.85546875" style="15" customWidth="1"/>
    <col min="2" max="2" width="21.28125" style="15" customWidth="1"/>
    <col min="3" max="3" width="10.00390625" style="15" hidden="1" customWidth="1"/>
    <col min="4" max="4" width="27.57421875" style="15" customWidth="1"/>
    <col min="5" max="5" width="16.140625" style="15" bestFit="1" customWidth="1"/>
    <col min="6" max="6" width="6.7109375" style="15" customWidth="1"/>
    <col min="7" max="7" width="17.28125" style="15" customWidth="1"/>
    <col min="8" max="8" width="10.8515625" style="15" customWidth="1"/>
    <col min="9" max="9" width="18.28125" style="15" customWidth="1"/>
    <col min="10" max="10" width="11.7109375" style="15" customWidth="1"/>
    <col min="11" max="11" width="16.00390625" style="15" customWidth="1"/>
    <col min="12" max="12" width="15.28125" style="15" customWidth="1"/>
    <col min="13" max="13" width="17.7109375" style="310" bestFit="1" customWidth="1"/>
    <col min="14" max="14" width="19.28125" style="15" customWidth="1"/>
    <col min="15" max="15" width="57.7109375" style="461" bestFit="1" customWidth="1"/>
    <col min="16" max="16" width="39.140625" style="454" customWidth="1"/>
    <col min="17" max="17" width="39.140625" style="454" bestFit="1" customWidth="1"/>
    <col min="18" max="18" width="30.00390625" style="454" customWidth="1"/>
    <col min="19" max="19" width="38.00390625" style="454" customWidth="1"/>
    <col min="20" max="20" width="19.140625" style="445" bestFit="1" customWidth="1"/>
    <col min="21" max="21" width="16.57421875" style="445" customWidth="1"/>
    <col min="22" max="23" width="34.57421875" style="445" hidden="1" customWidth="1"/>
    <col min="24" max="24" width="20.7109375" style="445" hidden="1" customWidth="1"/>
    <col min="25" max="25" width="24.57421875" style="445" hidden="1" customWidth="1"/>
    <col min="26" max="26" width="20.00390625" style="445" hidden="1" customWidth="1"/>
    <col min="27" max="28" width="9.140625" style="445" hidden="1" customWidth="1"/>
    <col min="29" max="29" width="19.00390625" style="445" hidden="1" customWidth="1"/>
    <col min="30" max="30" width="18.28125" style="445" hidden="1" customWidth="1"/>
    <col min="31" max="35" width="9.140625" style="445" hidden="1" customWidth="1"/>
    <col min="36" max="36" width="10.57421875" style="445" hidden="1" customWidth="1"/>
    <col min="37" max="37" width="17.28125" style="445" hidden="1" customWidth="1"/>
    <col min="38" max="54" width="9.140625" style="445" hidden="1" customWidth="1"/>
    <col min="55" max="255" width="9.140625" style="15" hidden="1" customWidth="1"/>
    <col min="256" max="16384" width="9.140625" style="15" customWidth="1"/>
  </cols>
  <sheetData>
    <row r="1" spans="13:15" s="15" customFormat="1" ht="6" customHeight="1" thickBot="1">
      <c r="M1" s="310"/>
      <c r="O1"/>
    </row>
    <row r="2" spans="2:15" s="15" customFormat="1" ht="18" customHeight="1" hidden="1">
      <c r="B2" s="140"/>
      <c r="C2" s="135"/>
      <c r="D2" s="135"/>
      <c r="E2" s="135"/>
      <c r="F2" s="135"/>
      <c r="G2" s="135"/>
      <c r="H2" s="141"/>
      <c r="I2" s="22"/>
      <c r="J2" s="135"/>
      <c r="K2" s="135"/>
      <c r="L2" s="135"/>
      <c r="M2" s="311"/>
      <c r="O2"/>
    </row>
    <row r="3" spans="2:25" s="15" customFormat="1" ht="18" customHeight="1" hidden="1" thickBot="1">
      <c r="B3" s="21"/>
      <c r="C3" s="11"/>
      <c r="D3" s="11"/>
      <c r="E3" s="11"/>
      <c r="F3" s="11"/>
      <c r="G3" s="11"/>
      <c r="H3" s="16"/>
      <c r="I3" s="137"/>
      <c r="J3" s="159"/>
      <c r="K3" s="159"/>
      <c r="L3" s="159"/>
      <c r="M3" s="312"/>
      <c r="O3"/>
      <c r="Y3" s="95" t="s">
        <v>57</v>
      </c>
    </row>
    <row r="4" spans="2:25" s="15" customFormat="1" ht="33.75" customHeight="1">
      <c r="B4" s="24"/>
      <c r="C4" s="17"/>
      <c r="D4" s="17"/>
      <c r="E4" s="17"/>
      <c r="F4" s="17"/>
      <c r="G4" s="17"/>
      <c r="H4" s="17"/>
      <c r="I4" s="437"/>
      <c r="J4" s="437"/>
      <c r="K4" s="437"/>
      <c r="L4" s="438"/>
      <c r="M4" s="312"/>
      <c r="O4"/>
      <c r="Y4" s="95" t="s">
        <v>57</v>
      </c>
    </row>
    <row r="5" spans="2:28" s="15" customFormat="1" ht="21.75" customHeight="1">
      <c r="B5" s="625" t="s">
        <v>110</v>
      </c>
      <c r="C5" s="626"/>
      <c r="D5" s="626"/>
      <c r="E5" s="626"/>
      <c r="F5" s="626"/>
      <c r="G5" s="626"/>
      <c r="H5" s="626"/>
      <c r="I5" s="626"/>
      <c r="J5" s="626"/>
      <c r="K5" s="626"/>
      <c r="L5" s="627"/>
      <c r="M5" s="313"/>
      <c r="N5" s="100"/>
      <c r="O5" s="101"/>
      <c r="P5" s="101"/>
      <c r="Q5" s="334"/>
      <c r="R5" s="101"/>
      <c r="S5" s="101"/>
      <c r="T5" s="101"/>
      <c r="U5" s="303"/>
      <c r="X5" s="15">
        <f>IF(P10=Y3,1,0)</f>
        <v>1</v>
      </c>
      <c r="Y5" s="95" t="s">
        <v>58</v>
      </c>
      <c r="AA5" s="15" t="s">
        <v>77</v>
      </c>
      <c r="AB5" s="117">
        <v>0.5214</v>
      </c>
    </row>
    <row r="6" spans="2:33" s="15" customFormat="1" ht="18" customHeight="1">
      <c r="B6" s="625"/>
      <c r="C6" s="626"/>
      <c r="D6" s="626"/>
      <c r="E6" s="626"/>
      <c r="F6" s="626"/>
      <c r="G6" s="626"/>
      <c r="H6" s="626"/>
      <c r="I6" s="626"/>
      <c r="J6" s="626"/>
      <c r="K6" s="626"/>
      <c r="L6" s="627"/>
      <c r="M6" s="313"/>
      <c r="N6" s="102"/>
      <c r="O6" s="486" t="s">
        <v>59</v>
      </c>
      <c r="P6" s="486"/>
      <c r="Q6" s="486"/>
      <c r="S6" s="486"/>
      <c r="T6" s="486"/>
      <c r="U6" s="304"/>
      <c r="AA6" s="15" t="s">
        <v>78</v>
      </c>
      <c r="AB6" s="117">
        <v>0.8358</v>
      </c>
      <c r="AE6" s="15" t="s">
        <v>84</v>
      </c>
      <c r="AG6" s="15">
        <f>IF(I17=AE6,1,0)</f>
        <v>1</v>
      </c>
    </row>
    <row r="7" spans="2:31" s="15" customFormat="1" ht="45.75" customHeight="1">
      <c r="B7" s="625"/>
      <c r="C7" s="626"/>
      <c r="D7" s="626"/>
      <c r="E7" s="626"/>
      <c r="F7" s="626"/>
      <c r="G7" s="626"/>
      <c r="H7" s="626"/>
      <c r="I7" s="626"/>
      <c r="J7" s="626"/>
      <c r="K7" s="626"/>
      <c r="L7" s="627"/>
      <c r="M7" s="313"/>
      <c r="N7" s="102"/>
      <c r="O7" s="11"/>
      <c r="P7" s="436" t="s">
        <v>357</v>
      </c>
      <c r="Q7" s="436" t="s">
        <v>358</v>
      </c>
      <c r="S7" s="436" t="s">
        <v>357</v>
      </c>
      <c r="T7" s="436" t="s">
        <v>358</v>
      </c>
      <c r="U7" s="304"/>
      <c r="V7" s="95" t="s">
        <v>357</v>
      </c>
      <c r="W7" s="95" t="s">
        <v>358</v>
      </c>
      <c r="X7" s="15">
        <f>IF(P11=Y3,1,0)</f>
        <v>0</v>
      </c>
      <c r="AA7" s="15" t="s">
        <v>79</v>
      </c>
      <c r="AB7" s="117">
        <v>0.2302</v>
      </c>
      <c r="AE7" s="15" t="s">
        <v>93</v>
      </c>
    </row>
    <row r="8" spans="2:33" s="15" customFormat="1" ht="27" customHeight="1" hidden="1">
      <c r="B8" s="338"/>
      <c r="C8" s="339"/>
      <c r="D8" s="339"/>
      <c r="E8" s="339"/>
      <c r="F8" s="339"/>
      <c r="G8" s="339"/>
      <c r="H8" s="339"/>
      <c r="I8" s="339"/>
      <c r="J8" s="339"/>
      <c r="K8" s="339"/>
      <c r="L8" s="340"/>
      <c r="M8" s="313"/>
      <c r="N8" s="102"/>
      <c r="O8" s="11"/>
      <c r="P8" s="12" t="s">
        <v>357</v>
      </c>
      <c r="Q8" s="335" t="s">
        <v>358</v>
      </c>
      <c r="S8" s="11"/>
      <c r="T8" s="12" t="s">
        <v>358</v>
      </c>
      <c r="U8" s="304"/>
      <c r="AA8" s="15" t="s">
        <v>80</v>
      </c>
      <c r="AB8" s="117">
        <v>0.1382</v>
      </c>
      <c r="AG8" s="225">
        <f>SUM(AG6:AG7)</f>
        <v>1</v>
      </c>
    </row>
    <row r="9" spans="2:38" s="15" customFormat="1" ht="20.25" customHeight="1" hidden="1">
      <c r="B9" s="338"/>
      <c r="C9" s="339"/>
      <c r="D9" s="339"/>
      <c r="E9" s="339"/>
      <c r="F9" s="339"/>
      <c r="G9" s="339"/>
      <c r="H9" s="339"/>
      <c r="I9" s="339"/>
      <c r="J9" s="339"/>
      <c r="K9" s="339"/>
      <c r="L9" s="340"/>
      <c r="M9" s="313"/>
      <c r="N9" s="102"/>
      <c r="O9"/>
      <c r="P9" s="12" t="s">
        <v>357</v>
      </c>
      <c r="Q9" s="335" t="s">
        <v>358</v>
      </c>
      <c r="S9" s="11"/>
      <c r="T9" s="335" t="s">
        <v>358</v>
      </c>
      <c r="U9" s="305"/>
      <c r="V9" s="411">
        <f>IF(S10=$Y$4,0.25,0)</f>
        <v>0</v>
      </c>
      <c r="W9" s="411">
        <f>IF(T10=$Y$4,0.15,0)</f>
        <v>0.15</v>
      </c>
      <c r="X9" s="15">
        <f>IF(P13=Y3,1,0)</f>
        <v>0</v>
      </c>
      <c r="AJ9" s="288" t="str">
        <f>DIETY!A2</f>
        <v>Afganistan</v>
      </c>
      <c r="AK9" s="289" t="str">
        <f>DIETY!B2</f>
        <v>EURO</v>
      </c>
      <c r="AL9" s="15">
        <f>IF($I$22=AJ9,AK9,"")</f>
      </c>
    </row>
    <row r="10" spans="2:38" s="15" customFormat="1" ht="18" customHeight="1">
      <c r="B10" s="21"/>
      <c r="C10" s="11"/>
      <c r="D10" s="11"/>
      <c r="E10" s="11"/>
      <c r="F10" s="11"/>
      <c r="G10" s="11"/>
      <c r="H10" s="11"/>
      <c r="I10" s="11"/>
      <c r="J10" s="159"/>
      <c r="K10" s="159"/>
      <c r="L10" s="220"/>
      <c r="M10" s="312"/>
      <c r="N10" s="102"/>
      <c r="O10" s="246" t="s">
        <v>95</v>
      </c>
      <c r="P10" s="329" t="s">
        <v>57</v>
      </c>
      <c r="Q10" s="332" t="s">
        <v>57</v>
      </c>
      <c r="R10" s="12" t="s">
        <v>341</v>
      </c>
      <c r="S10" s="256" t="s">
        <v>58</v>
      </c>
      <c r="T10" s="256" t="s">
        <v>57</v>
      </c>
      <c r="U10" s="305"/>
      <c r="V10" s="411">
        <f>IF(S11=$Y$4,0.5,0)</f>
        <v>0</v>
      </c>
      <c r="W10" s="411">
        <f>IF(T11=$Y$4,0.3,0)</f>
        <v>0.3</v>
      </c>
      <c r="AJ10" s="288" t="str">
        <f>DIETY!A3</f>
        <v>Albania</v>
      </c>
      <c r="AK10" s="289" t="str">
        <f>DIETY!B3</f>
        <v>EURO</v>
      </c>
      <c r="AL10" s="15">
        <f>IF($I$22=AJ10,AK10,AL9)</f>
      </c>
    </row>
    <row r="11" spans="2:38" s="15" customFormat="1" ht="18">
      <c r="B11" s="21"/>
      <c r="C11" s="11"/>
      <c r="D11" s="11"/>
      <c r="E11" s="11"/>
      <c r="F11" s="11"/>
      <c r="G11" s="11"/>
      <c r="H11" s="11"/>
      <c r="I11" s="11"/>
      <c r="J11" s="11"/>
      <c r="K11" s="11"/>
      <c r="L11" s="221"/>
      <c r="M11" s="314"/>
      <c r="N11" s="102"/>
      <c r="O11" s="246" t="s">
        <v>108</v>
      </c>
      <c r="P11" s="330" t="s">
        <v>58</v>
      </c>
      <c r="Q11" s="333" t="s">
        <v>58</v>
      </c>
      <c r="R11" s="12" t="s">
        <v>342</v>
      </c>
      <c r="S11" s="256" t="s">
        <v>58</v>
      </c>
      <c r="T11" s="256" t="s">
        <v>57</v>
      </c>
      <c r="U11" s="305"/>
      <c r="V11" s="411">
        <f>IF(S12=$Y$4,0.25,0)</f>
        <v>0</v>
      </c>
      <c r="W11" s="411">
        <f>IF(T12=$Y$4,0.3,0)</f>
        <v>0.3</v>
      </c>
      <c r="AJ11" s="288" t="str">
        <f>DIETY!A4</f>
        <v>Algieria</v>
      </c>
      <c r="AK11" s="289" t="str">
        <f>DIETY!B4</f>
        <v>EURO</v>
      </c>
      <c r="AL11" s="15">
        <f aca="true" t="shared" si="0" ref="AL11:AL74">IF($I$22=AJ11,AK11,AL10)</f>
      </c>
    </row>
    <row r="12" spans="2:38" s="15" customFormat="1" ht="18">
      <c r="B12" s="21"/>
      <c r="C12" s="11"/>
      <c r="D12" s="11"/>
      <c r="E12" s="11"/>
      <c r="F12" s="11"/>
      <c r="G12" s="11"/>
      <c r="H12" s="11"/>
      <c r="I12" s="11"/>
      <c r="J12" s="11"/>
      <c r="K12" s="11"/>
      <c r="L12" s="221"/>
      <c r="M12" s="314"/>
      <c r="N12" s="102"/>
      <c r="O12" s="431" t="s">
        <v>410</v>
      </c>
      <c r="P12" s="341"/>
      <c r="Q12" s="412">
        <v>0</v>
      </c>
      <c r="R12" s="12" t="s">
        <v>343</v>
      </c>
      <c r="S12" s="256" t="s">
        <v>58</v>
      </c>
      <c r="T12" s="256" t="s">
        <v>57</v>
      </c>
      <c r="U12" s="305"/>
      <c r="V12" s="411"/>
      <c r="W12" s="411">
        <f>IF(T13=$Y$4,0.25,0)</f>
        <v>0.25</v>
      </c>
      <c r="AJ12" s="288" t="str">
        <f>DIETY!A5</f>
        <v>Andora</v>
      </c>
      <c r="AK12" s="289" t="str">
        <f>DIETY!B5</f>
        <v>EURO</v>
      </c>
      <c r="AL12" s="15" t="str">
        <f t="shared" si="0"/>
        <v>EURO</v>
      </c>
    </row>
    <row r="13" spans="2:38" s="15" customFormat="1" ht="18.75">
      <c r="B13" s="140"/>
      <c r="C13" s="196"/>
      <c r="D13" s="196"/>
      <c r="E13" s="12" t="s">
        <v>89</v>
      </c>
      <c r="F13" s="618"/>
      <c r="G13" s="593"/>
      <c r="H13" s="593"/>
      <c r="I13" s="12" t="s">
        <v>0</v>
      </c>
      <c r="J13" s="619"/>
      <c r="K13" s="620"/>
      <c r="L13" s="222"/>
      <c r="M13" s="315"/>
      <c r="N13" s="102"/>
      <c r="O13" s="246" t="s">
        <v>55</v>
      </c>
      <c r="P13" s="330" t="s">
        <v>58</v>
      </c>
      <c r="Q13" s="333" t="s">
        <v>58</v>
      </c>
      <c r="R13" s="12" t="s">
        <v>344</v>
      </c>
      <c r="S13" s="341"/>
      <c r="T13" s="256" t="s">
        <v>57</v>
      </c>
      <c r="U13" s="305"/>
      <c r="V13" s="411">
        <f>SUM(V9:V12)-IF(W13=1,0.25,0)</f>
        <v>0</v>
      </c>
      <c r="W13" s="411">
        <f>SUM(W9:W12)-IF(X13=1,0.25,0)</f>
        <v>0.75</v>
      </c>
      <c r="X13" s="15">
        <f>IF(W9+W10+W11+W12=1,1,0)</f>
        <v>1</v>
      </c>
      <c r="AJ13" s="288" t="str">
        <f>DIETY!A6</f>
        <v>Angola</v>
      </c>
      <c r="AK13" s="289" t="str">
        <f>DIETY!B6</f>
        <v>USD</v>
      </c>
      <c r="AL13" s="15" t="str">
        <f t="shared" si="0"/>
        <v>EURO</v>
      </c>
    </row>
    <row r="14" spans="2:38" s="15" customFormat="1" ht="19.5" customHeight="1">
      <c r="B14" s="21"/>
      <c r="C14" s="11"/>
      <c r="D14" s="11"/>
      <c r="E14" s="11"/>
      <c r="F14" s="11"/>
      <c r="G14" s="11"/>
      <c r="H14" s="11"/>
      <c r="I14" s="159"/>
      <c r="J14" s="159"/>
      <c r="K14" s="159"/>
      <c r="L14" s="220"/>
      <c r="M14" s="312"/>
      <c r="N14" s="102"/>
      <c r="O14" s="246" t="s">
        <v>407</v>
      </c>
      <c r="P14" s="331">
        <v>0</v>
      </c>
      <c r="Q14" s="260"/>
      <c r="S14" s="263"/>
      <c r="T14" s="263"/>
      <c r="U14" s="305"/>
      <c r="AJ14" s="288" t="str">
        <f>DIETY!A7</f>
        <v>Arabia Saudyjska</v>
      </c>
      <c r="AK14" s="289" t="str">
        <f>DIETY!B7</f>
        <v>EURO</v>
      </c>
      <c r="AL14" s="15" t="str">
        <f t="shared" si="0"/>
        <v>EURO</v>
      </c>
    </row>
    <row r="15" spans="2:38" s="15" customFormat="1" ht="18">
      <c r="B15" s="21"/>
      <c r="C15" s="11"/>
      <c r="D15" s="11"/>
      <c r="E15" s="11"/>
      <c r="F15" s="11"/>
      <c r="G15" s="11"/>
      <c r="H15" s="11"/>
      <c r="I15" s="11"/>
      <c r="J15" s="11"/>
      <c r="K15" s="11"/>
      <c r="L15" s="220"/>
      <c r="M15" s="312"/>
      <c r="N15" s="248"/>
      <c r="O15" s="103"/>
      <c r="P15" s="103"/>
      <c r="Q15" s="336"/>
      <c r="R15" s="103"/>
      <c r="S15" s="103"/>
      <c r="T15" s="103"/>
      <c r="U15" s="104"/>
      <c r="AJ15" s="288" t="str">
        <f>DIETY!A8</f>
        <v>Argentyna</v>
      </c>
      <c r="AK15" s="289" t="str">
        <f>DIETY!B8</f>
        <v>USD</v>
      </c>
      <c r="AL15" s="15" t="str">
        <f t="shared" si="0"/>
        <v>EURO</v>
      </c>
    </row>
    <row r="16" spans="2:38" s="15" customFormat="1" ht="21.75" customHeight="1" hidden="1">
      <c r="B16" s="21"/>
      <c r="C16" s="11"/>
      <c r="D16" s="11"/>
      <c r="E16" s="11"/>
      <c r="F16" s="11"/>
      <c r="G16" s="11"/>
      <c r="H16" s="11"/>
      <c r="I16" s="11"/>
      <c r="J16" s="11"/>
      <c r="K16" s="11"/>
      <c r="L16" s="159"/>
      <c r="M16" s="312"/>
      <c r="N16" s="103"/>
      <c r="O16" s="103"/>
      <c r="P16" s="103"/>
      <c r="Q16" s="263"/>
      <c r="R16" s="263"/>
      <c r="S16" s="104"/>
      <c r="AJ16" s="288" t="str">
        <f>DIETY!A9</f>
        <v>Armenia</v>
      </c>
      <c r="AK16" s="289" t="str">
        <f>DIETY!B9</f>
        <v>EURO</v>
      </c>
      <c r="AL16" s="15" t="str">
        <f t="shared" si="0"/>
        <v>EURO</v>
      </c>
    </row>
    <row r="17" spans="2:54" ht="27" customHeight="1">
      <c r="B17" s="14" t="s">
        <v>1</v>
      </c>
      <c r="C17" s="593"/>
      <c r="D17" s="593"/>
      <c r="E17" s="593"/>
      <c r="F17" s="593"/>
      <c r="G17" s="593"/>
      <c r="H17" s="11"/>
      <c r="I17" s="593" t="s">
        <v>84</v>
      </c>
      <c r="J17" s="593"/>
      <c r="K17" s="593"/>
      <c r="L17" s="220"/>
      <c r="M17" s="312"/>
      <c r="O17" s="15"/>
      <c r="P17" s="15"/>
      <c r="Q17" s="263"/>
      <c r="R17" s="337"/>
      <c r="S17" s="309"/>
      <c r="T17" s="309"/>
      <c r="U17" s="15"/>
      <c r="V17" s="118"/>
      <c r="W17" s="118"/>
      <c r="X17" s="118"/>
      <c r="Y17" s="118"/>
      <c r="Z17" s="119"/>
      <c r="AA17" s="15"/>
      <c r="AB17" s="15"/>
      <c r="AC17" s="15"/>
      <c r="AD17" s="15"/>
      <c r="AE17" s="15"/>
      <c r="AF17" s="15"/>
      <c r="AG17" s="15"/>
      <c r="AH17" s="15"/>
      <c r="AI17" s="15"/>
      <c r="AJ17" s="288" t="str">
        <f>DIETY!A10</f>
        <v>Australia</v>
      </c>
      <c r="AK17" s="289" t="str">
        <f>DIETY!B10</f>
        <v>AUD</v>
      </c>
      <c r="AL17" s="15" t="str">
        <f t="shared" si="0"/>
        <v>EURO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2:54" ht="21.75" customHeight="1">
      <c r="B18" s="21"/>
      <c r="C18" s="11"/>
      <c r="D18" s="11"/>
      <c r="E18" s="11"/>
      <c r="F18" s="11"/>
      <c r="G18" s="11"/>
      <c r="H18" s="11"/>
      <c r="I18" s="617" t="s">
        <v>94</v>
      </c>
      <c r="J18" s="617"/>
      <c r="K18" s="617"/>
      <c r="L18" s="220"/>
      <c r="M18" s="312"/>
      <c r="N18" s="612" t="s">
        <v>70</v>
      </c>
      <c r="O18" s="612" t="s">
        <v>69</v>
      </c>
      <c r="P18" s="623" t="s">
        <v>359</v>
      </c>
      <c r="Q18" s="612" t="s">
        <v>88</v>
      </c>
      <c r="R18" s="268" t="s">
        <v>360</v>
      </c>
      <c r="S18" s="309"/>
      <c r="T18" s="309"/>
      <c r="U18" s="15"/>
      <c r="V18" s="118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288" t="str">
        <f>DIETY!A11</f>
        <v>Austria</v>
      </c>
      <c r="AK18" s="289" t="str">
        <f>DIETY!B11</f>
        <v>EURO</v>
      </c>
      <c r="AL18" s="15" t="str">
        <f t="shared" si="0"/>
        <v>EURO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</row>
    <row r="19" spans="2:54" ht="26.25" customHeight="1">
      <c r="B19" s="21"/>
      <c r="C19" s="11"/>
      <c r="D19" s="11"/>
      <c r="E19" s="11"/>
      <c r="F19" s="11"/>
      <c r="G19" s="11"/>
      <c r="H19" s="11"/>
      <c r="L19" s="220"/>
      <c r="M19" s="312"/>
      <c r="N19" s="613"/>
      <c r="O19" s="613"/>
      <c r="P19" s="624"/>
      <c r="Q19" s="613"/>
      <c r="R19" s="269" t="s">
        <v>361</v>
      </c>
      <c r="S19" s="309"/>
      <c r="T19" s="309"/>
      <c r="U19" s="15"/>
      <c r="V19" s="118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288" t="str">
        <f>DIETY!A12</f>
        <v>Azerbejdżan</v>
      </c>
      <c r="AK19" s="289" t="str">
        <f>DIETY!B12</f>
        <v>EURO</v>
      </c>
      <c r="AL19" s="15" t="str">
        <f t="shared" si="0"/>
        <v>EURO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</row>
    <row r="20" spans="2:54" ht="21.75" customHeight="1" hidden="1">
      <c r="B20" s="21"/>
      <c r="C20" s="11"/>
      <c r="D20" s="11"/>
      <c r="E20" s="11"/>
      <c r="F20" s="11"/>
      <c r="G20" s="11"/>
      <c r="H20" s="11"/>
      <c r="I20" s="408"/>
      <c r="J20" s="408"/>
      <c r="K20" s="408"/>
      <c r="L20" s="159"/>
      <c r="M20" s="312"/>
      <c r="N20" s="136"/>
      <c r="O20" s="136"/>
      <c r="P20" s="32"/>
      <c r="Q20" s="32" t="s">
        <v>68</v>
      </c>
      <c r="R20" s="32" t="s">
        <v>68</v>
      </c>
      <c r="S20" s="309"/>
      <c r="T20" s="309"/>
      <c r="U20" s="15"/>
      <c r="V20" s="118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288" t="str">
        <f>DIETY!A13</f>
        <v>Bangladesz</v>
      </c>
      <c r="AK20" s="289" t="str">
        <f>DIETY!B13</f>
        <v>USD</v>
      </c>
      <c r="AL20" s="15" t="str">
        <f t="shared" si="0"/>
        <v>EURO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2:54" ht="21.75" customHeight="1" hidden="1">
      <c r="B21" s="21"/>
      <c r="C21" s="11"/>
      <c r="D21" s="11"/>
      <c r="E21" s="11"/>
      <c r="F21" s="11"/>
      <c r="G21" s="11"/>
      <c r="H21" s="11"/>
      <c r="I21" s="408"/>
      <c r="J21" s="408"/>
      <c r="K21" s="408"/>
      <c r="L21" s="159"/>
      <c r="M21" s="312"/>
      <c r="N21" s="111">
        <v>1</v>
      </c>
      <c r="O21" s="112"/>
      <c r="P21" s="111" t="s">
        <v>83</v>
      </c>
      <c r="Q21" s="111"/>
      <c r="R21" s="111"/>
      <c r="S21" s="309"/>
      <c r="T21" s="309"/>
      <c r="U21" s="15"/>
      <c r="V21" s="118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288" t="str">
        <f>DIETY!A14</f>
        <v>Belgia</v>
      </c>
      <c r="AK21" s="289" t="str">
        <f>DIETY!B14</f>
        <v>EURO</v>
      </c>
      <c r="AL21" s="15" t="str">
        <f t="shared" si="0"/>
        <v>EURO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2:54" ht="21.75" customHeight="1">
      <c r="B22" s="14" t="s">
        <v>2</v>
      </c>
      <c r="C22" s="593"/>
      <c r="D22" s="593"/>
      <c r="E22" s="593"/>
      <c r="F22" s="594" t="s">
        <v>117</v>
      </c>
      <c r="G22" s="594"/>
      <c r="H22" s="594"/>
      <c r="I22" s="616" t="s">
        <v>127</v>
      </c>
      <c r="J22" s="616"/>
      <c r="K22" s="616"/>
      <c r="L22" s="220"/>
      <c r="M22" s="312"/>
      <c r="N22" s="109">
        <v>1</v>
      </c>
      <c r="O22" s="257"/>
      <c r="P22" s="258"/>
      <c r="Q22" s="258"/>
      <c r="R22" s="258"/>
      <c r="S22" s="306">
        <f aca="true" t="shared" si="1" ref="S22:S28">IF($B$32=P22,Z22,0)</f>
        <v>0</v>
      </c>
      <c r="T22" s="309"/>
      <c r="U22" s="15"/>
      <c r="V22" s="118"/>
      <c r="W22" s="118">
        <f aca="true" t="shared" si="2" ref="W22:W28">IF(Q22=$AA$5,$AB$5,0)</f>
        <v>0</v>
      </c>
      <c r="X22" s="118">
        <f aca="true" t="shared" si="3" ref="X22:X28">IF(AND(W22=0,Q22=$AA$6),$AB$6,W22)</f>
        <v>0</v>
      </c>
      <c r="Y22" s="118">
        <f aca="true" t="shared" si="4" ref="Y22:Y28">IF(AND(X22=0,Q22=$AA$7),$AB$7,X22)</f>
        <v>0</v>
      </c>
      <c r="Z22" s="119">
        <f aca="true" t="shared" si="5" ref="Z22:Z28">IF(AND(Q22=$AA$8,Y22=0),$AB$8,Y22)</f>
        <v>0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288" t="str">
        <f>DIETY!A15</f>
        <v>Białoruś</v>
      </c>
      <c r="AK22" s="289" t="str">
        <f>DIETY!B15</f>
        <v>EURO</v>
      </c>
      <c r="AL22" s="15" t="str">
        <f t="shared" si="0"/>
        <v>EURO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2:54" ht="21.75" customHeight="1">
      <c r="B23" s="21"/>
      <c r="C23" s="11"/>
      <c r="D23" s="11"/>
      <c r="E23" s="11"/>
      <c r="F23" s="11"/>
      <c r="G23" s="11"/>
      <c r="H23" s="11"/>
      <c r="I23" s="159"/>
      <c r="J23" s="159"/>
      <c r="K23" s="159"/>
      <c r="L23" s="220"/>
      <c r="M23" s="312"/>
      <c r="N23" s="109">
        <v>2</v>
      </c>
      <c r="O23" s="257"/>
      <c r="P23" s="258"/>
      <c r="Q23" s="258"/>
      <c r="R23" s="258"/>
      <c r="S23" s="306">
        <f t="shared" si="1"/>
        <v>0</v>
      </c>
      <c r="T23" s="309"/>
      <c r="U23" s="15"/>
      <c r="V23" s="118"/>
      <c r="W23" s="118">
        <f t="shared" si="2"/>
        <v>0</v>
      </c>
      <c r="X23" s="118">
        <f t="shared" si="3"/>
        <v>0</v>
      </c>
      <c r="Y23" s="118">
        <f t="shared" si="4"/>
        <v>0</v>
      </c>
      <c r="Z23" s="119">
        <f t="shared" si="5"/>
        <v>0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288" t="str">
        <f>DIETY!A16</f>
        <v>Bośnia i Hercegowina</v>
      </c>
      <c r="AK23" s="289" t="str">
        <f>DIETY!B16</f>
        <v>EURO</v>
      </c>
      <c r="AL23" s="15" t="str">
        <f t="shared" si="0"/>
        <v>EURO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2:54" ht="21.75" customHeight="1">
      <c r="B24" s="14" t="s">
        <v>3</v>
      </c>
      <c r="C24" s="135"/>
      <c r="D24" s="614"/>
      <c r="E24" s="615"/>
      <c r="F24" s="598" t="s">
        <v>2</v>
      </c>
      <c r="G24" s="598"/>
      <c r="H24" s="598"/>
      <c r="I24" s="614"/>
      <c r="J24" s="614"/>
      <c r="K24" s="614"/>
      <c r="L24" s="220"/>
      <c r="M24" s="312"/>
      <c r="N24" s="109">
        <v>3</v>
      </c>
      <c r="O24" s="257"/>
      <c r="P24" s="258"/>
      <c r="Q24" s="258"/>
      <c r="R24" s="258"/>
      <c r="S24" s="306">
        <f t="shared" si="1"/>
        <v>0</v>
      </c>
      <c r="T24" s="309"/>
      <c r="U24" s="15"/>
      <c r="V24" s="118"/>
      <c r="W24" s="118">
        <f t="shared" si="2"/>
        <v>0</v>
      </c>
      <c r="X24" s="118">
        <f t="shared" si="3"/>
        <v>0</v>
      </c>
      <c r="Y24" s="118">
        <f t="shared" si="4"/>
        <v>0</v>
      </c>
      <c r="Z24" s="119">
        <f t="shared" si="5"/>
        <v>0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288" t="str">
        <f>DIETY!A17</f>
        <v>Brazylia</v>
      </c>
      <c r="AK24" s="289" t="str">
        <f>DIETY!B17</f>
        <v>EURO</v>
      </c>
      <c r="AL24" s="15" t="str">
        <f t="shared" si="0"/>
        <v>EURO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2:54" ht="21.75" customHeight="1">
      <c r="B25" s="21"/>
      <c r="C25" s="11"/>
      <c r="D25" s="11"/>
      <c r="E25" s="11"/>
      <c r="F25" s="11"/>
      <c r="G25" s="11"/>
      <c r="H25" s="11"/>
      <c r="I25" s="159"/>
      <c r="J25" s="159"/>
      <c r="K25" s="159"/>
      <c r="L25" s="220"/>
      <c r="M25" s="312"/>
      <c r="N25" s="109">
        <v>4</v>
      </c>
      <c r="O25" s="257"/>
      <c r="P25" s="258"/>
      <c r="Q25" s="258"/>
      <c r="R25" s="258"/>
      <c r="S25" s="306">
        <f t="shared" si="1"/>
        <v>0</v>
      </c>
      <c r="T25" s="309"/>
      <c r="U25" s="15"/>
      <c r="V25" s="118"/>
      <c r="W25" s="118">
        <f t="shared" si="2"/>
        <v>0</v>
      </c>
      <c r="X25" s="118">
        <f t="shared" si="3"/>
        <v>0</v>
      </c>
      <c r="Y25" s="118">
        <f t="shared" si="4"/>
        <v>0</v>
      </c>
      <c r="Z25" s="119">
        <f t="shared" si="5"/>
        <v>0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288" t="str">
        <f>DIETY!A18</f>
        <v>Bułgaria</v>
      </c>
      <c r="AK25" s="289" t="str">
        <f>DIETY!B18</f>
        <v>EURO</v>
      </c>
      <c r="AL25" s="15" t="str">
        <f t="shared" si="0"/>
        <v>EURO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2:54" ht="21.75" customHeight="1">
      <c r="B26" s="21"/>
      <c r="C26" s="11"/>
      <c r="D26" s="11"/>
      <c r="E26" s="11"/>
      <c r="F26" s="11"/>
      <c r="G26" s="11"/>
      <c r="H26" s="11"/>
      <c r="I26" s="159"/>
      <c r="J26" s="159"/>
      <c r="K26" s="159"/>
      <c r="L26" s="220"/>
      <c r="M26" s="312"/>
      <c r="N26" s="109">
        <v>5</v>
      </c>
      <c r="O26" s="257"/>
      <c r="P26" s="258"/>
      <c r="Q26" s="258"/>
      <c r="R26" s="258"/>
      <c r="S26" s="306">
        <f t="shared" si="1"/>
        <v>0</v>
      </c>
      <c r="T26" s="309"/>
      <c r="U26" s="15"/>
      <c r="V26" s="118"/>
      <c r="W26" s="118">
        <f t="shared" si="2"/>
        <v>0</v>
      </c>
      <c r="X26" s="118">
        <f t="shared" si="3"/>
        <v>0</v>
      </c>
      <c r="Y26" s="118">
        <f t="shared" si="4"/>
        <v>0</v>
      </c>
      <c r="Z26" s="119">
        <f t="shared" si="5"/>
        <v>0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288" t="str">
        <f>DIETY!A19</f>
        <v>Chile</v>
      </c>
      <c r="AK26" s="289" t="str">
        <f>DIETY!B19</f>
        <v>USD</v>
      </c>
      <c r="AL26" s="15" t="str">
        <f t="shared" si="0"/>
        <v>EURO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2:54" ht="18.75">
      <c r="B27" s="14" t="s">
        <v>4</v>
      </c>
      <c r="C27" s="593"/>
      <c r="D27" s="593"/>
      <c r="E27" s="593"/>
      <c r="F27" s="593"/>
      <c r="G27" s="593"/>
      <c r="H27" s="593"/>
      <c r="I27" s="593"/>
      <c r="J27" s="593"/>
      <c r="K27" s="593"/>
      <c r="L27" s="220"/>
      <c r="M27" s="312"/>
      <c r="N27" s="109">
        <v>6</v>
      </c>
      <c r="O27" s="257"/>
      <c r="P27" s="258"/>
      <c r="Q27" s="258"/>
      <c r="R27" s="258"/>
      <c r="S27" s="306">
        <f t="shared" si="1"/>
        <v>0</v>
      </c>
      <c r="T27" s="309"/>
      <c r="U27" s="15"/>
      <c r="V27" s="15"/>
      <c r="W27" s="118">
        <f t="shared" si="2"/>
        <v>0</v>
      </c>
      <c r="X27" s="118">
        <f t="shared" si="3"/>
        <v>0</v>
      </c>
      <c r="Y27" s="118">
        <f t="shared" si="4"/>
        <v>0</v>
      </c>
      <c r="Z27" s="119">
        <f t="shared" si="5"/>
        <v>0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288" t="str">
        <f>DIETY!A20</f>
        <v>Chiny</v>
      </c>
      <c r="AK27" s="289" t="str">
        <f>DIETY!B20</f>
        <v>EURO</v>
      </c>
      <c r="AL27" s="15" t="str">
        <f t="shared" si="0"/>
        <v>EURO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</row>
    <row r="28" spans="2:54" ht="18">
      <c r="B28" s="21"/>
      <c r="C28" s="158"/>
      <c r="D28" s="611"/>
      <c r="E28" s="611"/>
      <c r="F28" s="611"/>
      <c r="G28" s="611"/>
      <c r="H28" s="611"/>
      <c r="I28" s="611"/>
      <c r="J28" s="611"/>
      <c r="K28" s="611"/>
      <c r="L28" s="220"/>
      <c r="M28" s="312"/>
      <c r="N28" s="110">
        <v>7</v>
      </c>
      <c r="O28" s="259"/>
      <c r="P28" s="260"/>
      <c r="Q28" s="260"/>
      <c r="R28" s="260"/>
      <c r="S28" s="306">
        <f t="shared" si="1"/>
        <v>0</v>
      </c>
      <c r="T28" s="309"/>
      <c r="U28" s="15"/>
      <c r="V28" s="15"/>
      <c r="W28" s="118">
        <f t="shared" si="2"/>
        <v>0</v>
      </c>
      <c r="X28" s="118">
        <f t="shared" si="3"/>
        <v>0</v>
      </c>
      <c r="Y28" s="118">
        <f t="shared" si="4"/>
        <v>0</v>
      </c>
      <c r="Z28" s="119">
        <f t="shared" si="5"/>
        <v>0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288" t="str">
        <f>DIETY!A21</f>
        <v>Chorwacja</v>
      </c>
      <c r="AK28" s="289" t="str">
        <f>DIETY!B21</f>
        <v>EURO</v>
      </c>
      <c r="AL28" s="15" t="str">
        <f t="shared" si="0"/>
        <v>EURO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4" s="224" customFormat="1" ht="27" customHeight="1">
      <c r="A29" s="15"/>
      <c r="B29" s="21"/>
      <c r="C29" s="11"/>
      <c r="D29" s="11"/>
      <c r="E29" s="11"/>
      <c r="F29" s="11"/>
      <c r="G29" s="11"/>
      <c r="H29" s="11"/>
      <c r="I29" s="159"/>
      <c r="J29" s="159"/>
      <c r="K29" s="159"/>
      <c r="L29" s="220"/>
      <c r="M29" s="312"/>
      <c r="N29" s="159"/>
      <c r="O29" s="450"/>
      <c r="P29" s="450"/>
      <c r="Q29" s="450"/>
      <c r="R29" s="450"/>
      <c r="S29" s="450"/>
      <c r="T29" s="450">
        <f>SUM(S22:S28)</f>
        <v>0</v>
      </c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288" t="str">
        <f>DIETY!A22</f>
        <v>Cypr</v>
      </c>
      <c r="AK29" s="289" t="str">
        <f>DIETY!B22</f>
        <v>EURO</v>
      </c>
      <c r="AL29" s="15" t="str">
        <f t="shared" si="0"/>
        <v>EURO</v>
      </c>
      <c r="AM29" s="445"/>
      <c r="AN29" s="445"/>
      <c r="AO29" s="450"/>
      <c r="AP29" s="450"/>
      <c r="AQ29" s="450"/>
      <c r="AR29" s="450"/>
      <c r="AS29" s="450"/>
      <c r="AT29" s="450"/>
      <c r="AU29" s="450"/>
      <c r="AV29" s="450"/>
      <c r="AW29" s="450"/>
      <c r="AX29" s="450"/>
      <c r="AY29" s="450"/>
      <c r="AZ29" s="450"/>
      <c r="BA29" s="450"/>
      <c r="BB29" s="450"/>
    </row>
    <row r="30" spans="1:54" s="224" customFormat="1" ht="18" customHeight="1" hidden="1">
      <c r="A30" s="15"/>
      <c r="B30" s="21"/>
      <c r="C30" s="11"/>
      <c r="D30" s="11"/>
      <c r="E30" s="11"/>
      <c r="F30" s="11"/>
      <c r="G30" s="11"/>
      <c r="H30" s="11"/>
      <c r="I30" s="223"/>
      <c r="J30" s="159"/>
      <c r="K30" s="159"/>
      <c r="L30" s="159"/>
      <c r="M30" s="312"/>
      <c r="N30" s="159"/>
      <c r="O30" s="450"/>
      <c r="P30" s="451">
        <v>6</v>
      </c>
      <c r="Q30" s="452"/>
      <c r="R30" s="453"/>
      <c r="S30" s="453"/>
      <c r="T30" s="450"/>
      <c r="U30" s="450"/>
      <c r="V30" s="450"/>
      <c r="W30" s="450"/>
      <c r="X30" s="450"/>
      <c r="Y30" s="450"/>
      <c r="Z30" s="450"/>
      <c r="AA30" s="450"/>
      <c r="AB30" s="450"/>
      <c r="AC30" s="450"/>
      <c r="AD30" s="450"/>
      <c r="AE30" s="450"/>
      <c r="AF30" s="450"/>
      <c r="AG30" s="450"/>
      <c r="AH30" s="450"/>
      <c r="AI30" s="450"/>
      <c r="AJ30" s="288" t="str">
        <f>DIETY!A23</f>
        <v>Czechy</v>
      </c>
      <c r="AK30" s="289" t="str">
        <f>DIETY!B23</f>
        <v>EURO</v>
      </c>
      <c r="AL30" s="15" t="str">
        <f t="shared" si="0"/>
        <v>EURO</v>
      </c>
      <c r="AM30" s="445"/>
      <c r="AN30" s="445"/>
      <c r="AO30" s="450"/>
      <c r="AP30" s="450"/>
      <c r="AQ30" s="450"/>
      <c r="AR30" s="450"/>
      <c r="AS30" s="450"/>
      <c r="AT30" s="450"/>
      <c r="AU30" s="450"/>
      <c r="AV30" s="450"/>
      <c r="AW30" s="450"/>
      <c r="AX30" s="450"/>
      <c r="AY30" s="450"/>
      <c r="AZ30" s="450"/>
      <c r="BA30" s="450"/>
      <c r="BB30" s="450"/>
    </row>
    <row r="31" spans="1:40" s="488" customFormat="1" ht="18">
      <c r="A31" s="15"/>
      <c r="B31" s="638" t="s">
        <v>90</v>
      </c>
      <c r="C31" s="598"/>
      <c r="D31" s="598"/>
      <c r="E31" s="598"/>
      <c r="F31" s="598"/>
      <c r="G31" s="598"/>
      <c r="H31" s="598"/>
      <c r="I31" s="598"/>
      <c r="J31" s="598"/>
      <c r="K31" s="598"/>
      <c r="L31" s="639"/>
      <c r="M31" s="230"/>
      <c r="N31" s="487"/>
      <c r="R31" s="489" t="s">
        <v>362</v>
      </c>
      <c r="AJ31" s="490" t="str">
        <f>DIETY!A24</f>
        <v>Dania</v>
      </c>
      <c r="AK31" s="491" t="str">
        <f>DIETY!B24</f>
        <v>DKK</v>
      </c>
      <c r="AL31" s="492" t="str">
        <f t="shared" si="0"/>
        <v>EURO</v>
      </c>
      <c r="AM31" s="492"/>
      <c r="AN31" s="492"/>
    </row>
    <row r="32" spans="1:40" s="493" customFormat="1" ht="27" customHeight="1">
      <c r="A32" s="15"/>
      <c r="B32" s="632"/>
      <c r="C32" s="633"/>
      <c r="D32" s="633"/>
      <c r="E32" s="633"/>
      <c r="F32" s="633"/>
      <c r="G32" s="633"/>
      <c r="H32" s="633"/>
      <c r="I32" s="633"/>
      <c r="J32" s="633"/>
      <c r="K32" s="633"/>
      <c r="L32" s="634"/>
      <c r="M32" s="316"/>
      <c r="N32" s="487"/>
      <c r="R32" s="494" t="s">
        <v>363</v>
      </c>
      <c r="AJ32" s="490" t="str">
        <f>DIETY!A25</f>
        <v>Egipt</v>
      </c>
      <c r="AK32" s="491" t="str">
        <f>DIETY!B25</f>
        <v>USD</v>
      </c>
      <c r="AL32" s="492" t="str">
        <f t="shared" si="0"/>
        <v>EURO</v>
      </c>
      <c r="AM32" s="492"/>
      <c r="AN32" s="492"/>
    </row>
    <row r="33" spans="1:40" s="493" customFormat="1" ht="27" customHeight="1">
      <c r="A33" s="15"/>
      <c r="B33" s="632"/>
      <c r="C33" s="633"/>
      <c r="D33" s="633"/>
      <c r="E33" s="633"/>
      <c r="F33" s="633"/>
      <c r="G33" s="633"/>
      <c r="H33" s="633"/>
      <c r="I33" s="633"/>
      <c r="J33" s="633"/>
      <c r="K33" s="633"/>
      <c r="L33" s="634"/>
      <c r="M33" s="316"/>
      <c r="N33" s="487"/>
      <c r="AJ33" s="490" t="str">
        <f>DIETY!A26</f>
        <v>Ekwador</v>
      </c>
      <c r="AK33" s="491" t="str">
        <f>DIETY!B26</f>
        <v>USD</v>
      </c>
      <c r="AL33" s="492" t="str">
        <f t="shared" si="0"/>
        <v>EURO</v>
      </c>
      <c r="AM33" s="492"/>
      <c r="AN33" s="492"/>
    </row>
    <row r="34" spans="1:40" s="493" customFormat="1" ht="27" customHeight="1" thickBot="1">
      <c r="A34" s="15"/>
      <c r="B34" s="635"/>
      <c r="C34" s="636"/>
      <c r="D34" s="636"/>
      <c r="E34" s="636"/>
      <c r="F34" s="636"/>
      <c r="G34" s="636"/>
      <c r="H34" s="636"/>
      <c r="I34" s="636"/>
      <c r="J34" s="636"/>
      <c r="K34" s="636"/>
      <c r="L34" s="637"/>
      <c r="M34" s="316"/>
      <c r="N34" s="487"/>
      <c r="AJ34" s="490" t="str">
        <f>DIETY!A27</f>
        <v>Estonia</v>
      </c>
      <c r="AK34" s="491" t="str">
        <f>DIETY!B27</f>
        <v>EURO</v>
      </c>
      <c r="AL34" s="492" t="str">
        <f t="shared" si="0"/>
        <v>EURO</v>
      </c>
      <c r="AM34" s="492"/>
      <c r="AN34" s="492"/>
    </row>
    <row r="35" spans="1:40" s="493" customFormat="1" ht="18" customHeight="1" hidden="1">
      <c r="A35" s="15"/>
      <c r="B35" s="138"/>
      <c r="C35" s="138"/>
      <c r="D35" s="138"/>
      <c r="E35" s="138"/>
      <c r="F35" s="138"/>
      <c r="G35" s="138"/>
      <c r="H35" s="138"/>
      <c r="I35" s="159"/>
      <c r="J35" s="159"/>
      <c r="K35" s="159"/>
      <c r="L35" s="159"/>
      <c r="M35" s="312"/>
      <c r="N35" s="492"/>
      <c r="AJ35" s="490" t="str">
        <f>DIETY!A28</f>
        <v>Etiopia</v>
      </c>
      <c r="AK35" s="491" t="str">
        <f>DIETY!B28</f>
        <v>USD</v>
      </c>
      <c r="AL35" s="492" t="str">
        <f t="shared" si="0"/>
        <v>EURO</v>
      </c>
      <c r="AM35" s="492"/>
      <c r="AN35" s="492"/>
    </row>
    <row r="36" spans="1:40" s="493" customFormat="1" ht="18" customHeight="1" hidden="1">
      <c r="A36" s="15"/>
      <c r="B36" s="138"/>
      <c r="C36" s="138"/>
      <c r="D36" s="138"/>
      <c r="E36" s="138"/>
      <c r="F36" s="138"/>
      <c r="G36" s="138"/>
      <c r="H36" s="138"/>
      <c r="I36" s="159"/>
      <c r="J36" s="159"/>
      <c r="K36" s="159"/>
      <c r="L36" s="159"/>
      <c r="M36" s="312"/>
      <c r="N36" s="492"/>
      <c r="AJ36" s="490" t="str">
        <f>DIETY!A29</f>
        <v>Finlandia</v>
      </c>
      <c r="AK36" s="491" t="str">
        <f>DIETY!B29</f>
        <v>EURO</v>
      </c>
      <c r="AL36" s="492" t="str">
        <f t="shared" si="0"/>
        <v>EURO</v>
      </c>
      <c r="AM36" s="492"/>
      <c r="AN36" s="492"/>
    </row>
    <row r="37" spans="1:40" s="493" customFormat="1" ht="18.75" customHeight="1" hidden="1" thickBot="1">
      <c r="A37" s="15"/>
      <c r="B37" s="139"/>
      <c r="C37" s="139"/>
      <c r="D37" s="139"/>
      <c r="E37" s="139"/>
      <c r="F37" s="139"/>
      <c r="G37" s="139"/>
      <c r="H37" s="139"/>
      <c r="I37" s="219"/>
      <c r="J37" s="159"/>
      <c r="K37" s="159"/>
      <c r="L37" s="159"/>
      <c r="M37" s="312"/>
      <c r="N37" s="492"/>
      <c r="AJ37" s="490" t="str">
        <f>DIETY!A30</f>
        <v>Francja</v>
      </c>
      <c r="AK37" s="491" t="str">
        <f>DIETY!B30</f>
        <v>EURO</v>
      </c>
      <c r="AL37" s="492" t="str">
        <f t="shared" si="0"/>
        <v>EURO</v>
      </c>
      <c r="AM37" s="492"/>
      <c r="AN37" s="492"/>
    </row>
    <row r="38" spans="1:40" s="493" customFormat="1" ht="15.75" customHeight="1" hidden="1">
      <c r="A38" s="15"/>
      <c r="B38" s="17"/>
      <c r="C38" s="17"/>
      <c r="D38" s="17"/>
      <c r="E38" s="17"/>
      <c r="F38" s="17"/>
      <c r="G38" s="17"/>
      <c r="H38" s="17"/>
      <c r="I38" s="17"/>
      <c r="J38" s="11"/>
      <c r="K38" s="11"/>
      <c r="L38" s="11"/>
      <c r="M38" s="246"/>
      <c r="N38" s="492"/>
      <c r="AJ38" s="490" t="str">
        <f>DIETY!A31</f>
        <v>Gibraltar</v>
      </c>
      <c r="AK38" s="491" t="str">
        <f>DIETY!B31</f>
        <v>GBP</v>
      </c>
      <c r="AL38" s="492" t="str">
        <f t="shared" si="0"/>
        <v>EURO</v>
      </c>
      <c r="AM38" s="492"/>
      <c r="AN38" s="492"/>
    </row>
    <row r="39" spans="1:40" s="493" customFormat="1" ht="15.75" customHeight="1" hidden="1">
      <c r="A39" s="1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246"/>
      <c r="N39" s="492"/>
      <c r="AJ39" s="490" t="str">
        <f>DIETY!A32</f>
        <v>Grecja</v>
      </c>
      <c r="AK39" s="491" t="str">
        <f>DIETY!B32</f>
        <v>EURO</v>
      </c>
      <c r="AL39" s="492" t="str">
        <f t="shared" si="0"/>
        <v>EURO</v>
      </c>
      <c r="AM39" s="492"/>
      <c r="AN39" s="492"/>
    </row>
    <row r="40" spans="1:40" s="493" customFormat="1" ht="18.75" customHeight="1" hidden="1">
      <c r="A40" s="15"/>
      <c r="B40" s="598" t="s">
        <v>5</v>
      </c>
      <c r="C40" s="598"/>
      <c r="D40" s="598"/>
      <c r="E40" s="598"/>
      <c r="F40" s="75"/>
      <c r="G40" s="156"/>
      <c r="H40" s="11"/>
      <c r="I40" s="11"/>
      <c r="J40" s="11"/>
      <c r="K40" s="11"/>
      <c r="L40" s="11"/>
      <c r="M40" s="246"/>
      <c r="N40" s="492"/>
      <c r="AJ40" s="490" t="str">
        <f>DIETY!A33</f>
        <v>Gruzja</v>
      </c>
      <c r="AK40" s="491" t="str">
        <f>DIETY!B33</f>
        <v>EURO</v>
      </c>
      <c r="AL40" s="492" t="str">
        <f t="shared" si="0"/>
        <v>EURO</v>
      </c>
      <c r="AM40" s="492"/>
      <c r="AN40" s="492"/>
    </row>
    <row r="41" spans="1:40" s="493" customFormat="1" ht="18" customHeight="1" hidden="1">
      <c r="A41" s="1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246"/>
      <c r="N41" s="492"/>
      <c r="AJ41" s="490" t="str">
        <f>DIETY!A34</f>
        <v>Hiszpania</v>
      </c>
      <c r="AK41" s="491" t="str">
        <f>DIETY!B34</f>
        <v>EURO</v>
      </c>
      <c r="AL41" s="492" t="str">
        <f t="shared" si="0"/>
        <v>EURO</v>
      </c>
      <c r="AM41" s="492"/>
      <c r="AN41" s="492"/>
    </row>
    <row r="42" spans="1:40" s="493" customFormat="1" ht="18.75" customHeight="1" hidden="1">
      <c r="A42" s="15"/>
      <c r="B42" s="12" t="s">
        <v>6</v>
      </c>
      <c r="C42" s="572">
        <f>'Excelblog.pl - Kwoty słownie'!B10</f>
      </c>
      <c r="D42" s="572"/>
      <c r="E42" s="572"/>
      <c r="F42" s="572"/>
      <c r="G42" s="572"/>
      <c r="H42" s="572"/>
      <c r="I42" s="572"/>
      <c r="J42" s="160"/>
      <c r="K42" s="160"/>
      <c r="L42" s="160"/>
      <c r="M42" s="317"/>
      <c r="N42" s="492"/>
      <c r="AJ42" s="490" t="str">
        <f>DIETY!A35</f>
        <v>Hongkong</v>
      </c>
      <c r="AK42" s="491" t="str">
        <f>DIETY!B35</f>
        <v>USD</v>
      </c>
      <c r="AL42" s="492" t="str">
        <f t="shared" si="0"/>
        <v>EURO</v>
      </c>
      <c r="AM42" s="492"/>
      <c r="AN42" s="492"/>
    </row>
    <row r="43" spans="1:40" s="493" customFormat="1" ht="18" customHeight="1" hidden="1">
      <c r="A43" s="15"/>
      <c r="B43" s="11"/>
      <c r="C43" s="11"/>
      <c r="D43" s="11"/>
      <c r="E43" s="11"/>
      <c r="F43" s="11"/>
      <c r="G43" s="11"/>
      <c r="H43" s="11"/>
      <c r="I43" s="19"/>
      <c r="J43" s="11"/>
      <c r="K43" s="11"/>
      <c r="L43" s="11"/>
      <c r="M43" s="246"/>
      <c r="N43" s="492"/>
      <c r="AJ43" s="490" t="str">
        <f>DIETY!A36</f>
        <v>Indie</v>
      </c>
      <c r="AK43" s="491" t="str">
        <f>DIETY!B36</f>
        <v>EURO</v>
      </c>
      <c r="AL43" s="492" t="str">
        <f t="shared" si="0"/>
        <v>EURO</v>
      </c>
      <c r="AM43" s="492"/>
      <c r="AN43" s="492"/>
    </row>
    <row r="44" spans="1:40" s="493" customFormat="1" ht="18" customHeight="1" hidden="1">
      <c r="A44" s="15"/>
      <c r="B44" s="602" t="s">
        <v>9</v>
      </c>
      <c r="C44" s="602"/>
      <c r="D44" s="602"/>
      <c r="E44" s="602"/>
      <c r="F44" s="602"/>
      <c r="G44" s="602"/>
      <c r="H44" s="602"/>
      <c r="I44" s="76"/>
      <c r="J44" s="158"/>
      <c r="K44" s="158"/>
      <c r="L44" s="158"/>
      <c r="M44" s="318"/>
      <c r="N44" s="492"/>
      <c r="AJ44" s="490" t="str">
        <f>DIETY!A37</f>
        <v>Indonezja</v>
      </c>
      <c r="AK44" s="491" t="str">
        <f>DIETY!B37</f>
        <v>EURO</v>
      </c>
      <c r="AL44" s="492" t="str">
        <f t="shared" si="0"/>
        <v>EURO</v>
      </c>
      <c r="AM44" s="492"/>
      <c r="AN44" s="492"/>
    </row>
    <row r="45" spans="1:40" s="493" customFormat="1" ht="18" customHeight="1" hidden="1">
      <c r="A45" s="1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246"/>
      <c r="N45" s="492"/>
      <c r="AJ45" s="490" t="str">
        <f>DIETY!A38</f>
        <v>Irak</v>
      </c>
      <c r="AK45" s="491" t="str">
        <f>DIETY!B38</f>
        <v>USD</v>
      </c>
      <c r="AL45" s="492" t="str">
        <f t="shared" si="0"/>
        <v>EURO</v>
      </c>
      <c r="AM45" s="492"/>
      <c r="AN45" s="492"/>
    </row>
    <row r="46" spans="1:40" s="493" customFormat="1" ht="18" customHeight="1" hidden="1">
      <c r="A46" s="1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246"/>
      <c r="N46" s="492"/>
      <c r="AJ46" s="490" t="str">
        <f>DIETY!A39</f>
        <v>Iran</v>
      </c>
      <c r="AK46" s="491" t="str">
        <f>DIETY!B39</f>
        <v>EURO</v>
      </c>
      <c r="AL46" s="492" t="str">
        <f t="shared" si="0"/>
        <v>EURO</v>
      </c>
      <c r="AM46" s="492"/>
      <c r="AN46" s="492"/>
    </row>
    <row r="47" spans="1:40" s="493" customFormat="1" ht="18" customHeight="1" hidden="1">
      <c r="A47" s="1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246"/>
      <c r="N47" s="492"/>
      <c r="AJ47" s="490" t="str">
        <f>DIETY!A40</f>
        <v>Irlandia</v>
      </c>
      <c r="AK47" s="491" t="str">
        <f>DIETY!B40</f>
        <v>EURO</v>
      </c>
      <c r="AL47" s="492" t="str">
        <f t="shared" si="0"/>
        <v>EURO</v>
      </c>
      <c r="AM47" s="492"/>
      <c r="AN47" s="492"/>
    </row>
    <row r="48" spans="1:40" s="493" customFormat="1" ht="18" customHeight="1" hidden="1">
      <c r="A48" s="15"/>
      <c r="B48" s="11"/>
      <c r="C48" s="11"/>
      <c r="D48" s="11"/>
      <c r="E48" s="11"/>
      <c r="F48" s="11"/>
      <c r="G48" s="11"/>
      <c r="H48" s="11"/>
      <c r="I48" s="20"/>
      <c r="J48" s="20"/>
      <c r="K48" s="20"/>
      <c r="L48" s="20"/>
      <c r="M48" s="319"/>
      <c r="N48" s="492"/>
      <c r="AJ48" s="490" t="str">
        <f>DIETY!A41</f>
        <v>Islandia</v>
      </c>
      <c r="AK48" s="491" t="str">
        <f>DIETY!B41</f>
        <v>EURO</v>
      </c>
      <c r="AL48" s="492" t="str">
        <f t="shared" si="0"/>
        <v>EURO</v>
      </c>
      <c r="AM48" s="492"/>
      <c r="AN48" s="492"/>
    </row>
    <row r="49" spans="1:40" s="493" customFormat="1" ht="18" customHeight="1" hidden="1">
      <c r="A49" s="15"/>
      <c r="B49" s="11"/>
      <c r="C49" s="11"/>
      <c r="D49" s="11"/>
      <c r="E49" s="11"/>
      <c r="F49" s="11"/>
      <c r="G49" s="11"/>
      <c r="H49" s="11"/>
      <c r="I49" s="76"/>
      <c r="J49" s="158"/>
      <c r="K49" s="158"/>
      <c r="L49" s="158"/>
      <c r="M49" s="318"/>
      <c r="N49" s="492"/>
      <c r="AJ49" s="490" t="str">
        <f>DIETY!A42</f>
        <v>Izrael</v>
      </c>
      <c r="AK49" s="491" t="str">
        <f>DIETY!B42</f>
        <v>EURO</v>
      </c>
      <c r="AL49" s="492" t="str">
        <f t="shared" si="0"/>
        <v>EURO</v>
      </c>
      <c r="AM49" s="492"/>
      <c r="AN49" s="492"/>
    </row>
    <row r="50" spans="1:40" s="493" customFormat="1" ht="18" customHeight="1" hidden="1">
      <c r="A50" s="15"/>
      <c r="B50" s="11"/>
      <c r="C50" s="11"/>
      <c r="D50" s="11"/>
      <c r="E50" s="11"/>
      <c r="F50" s="11"/>
      <c r="G50" s="11"/>
      <c r="H50" s="11"/>
      <c r="I50" s="20" t="s">
        <v>7</v>
      </c>
      <c r="J50" s="20"/>
      <c r="K50" s="20"/>
      <c r="L50" s="20"/>
      <c r="M50" s="319"/>
      <c r="N50" s="492"/>
      <c r="AJ50" s="490" t="str">
        <f>DIETY!A43</f>
        <v>Japonia</v>
      </c>
      <c r="AK50" s="491" t="str">
        <f>DIETY!B43</f>
        <v>JPY</v>
      </c>
      <c r="AL50" s="492" t="str">
        <f t="shared" si="0"/>
        <v>EURO</v>
      </c>
      <c r="AM50" s="492"/>
      <c r="AN50" s="492"/>
    </row>
    <row r="51" spans="1:40" s="493" customFormat="1" ht="12" customHeight="1" hidden="1">
      <c r="A51" s="1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246"/>
      <c r="N51" s="492"/>
      <c r="AJ51" s="490" t="str">
        <f>DIETY!A44</f>
        <v>Jemen</v>
      </c>
      <c r="AK51" s="491" t="str">
        <f>DIETY!B44</f>
        <v>USD</v>
      </c>
      <c r="AL51" s="492" t="str">
        <f t="shared" si="0"/>
        <v>EURO</v>
      </c>
      <c r="AM51" s="492"/>
      <c r="AN51" s="492"/>
    </row>
    <row r="52" spans="1:40" s="493" customFormat="1" ht="12" customHeight="1" hidden="1">
      <c r="A52" s="1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246"/>
      <c r="N52" s="492"/>
      <c r="AJ52" s="490" t="str">
        <f>DIETY!A45</f>
        <v>Jordania</v>
      </c>
      <c r="AK52" s="491" t="str">
        <f>DIETY!B45</f>
        <v>EURO</v>
      </c>
      <c r="AL52" s="492" t="str">
        <f t="shared" si="0"/>
        <v>EURO</v>
      </c>
      <c r="AM52" s="492"/>
      <c r="AN52" s="492"/>
    </row>
    <row r="53" spans="1:40" s="493" customFormat="1" ht="12" customHeight="1" hidden="1">
      <c r="A53" s="1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246"/>
      <c r="N53" s="492"/>
      <c r="AJ53" s="490" t="str">
        <f>DIETY!A46</f>
        <v>Kambodża</v>
      </c>
      <c r="AK53" s="491" t="str">
        <f>DIETY!B46</f>
        <v>USD</v>
      </c>
      <c r="AL53" s="492" t="str">
        <f t="shared" si="0"/>
        <v>EURO</v>
      </c>
      <c r="AM53" s="492"/>
      <c r="AN53" s="492"/>
    </row>
    <row r="54" spans="1:40" s="493" customFormat="1" ht="12" customHeight="1" hidden="1">
      <c r="A54" s="1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246"/>
      <c r="N54" s="492"/>
      <c r="AJ54" s="490" t="str">
        <f>DIETY!A47</f>
        <v>Kanada</v>
      </c>
      <c r="AK54" s="491" t="str">
        <f>DIETY!B47</f>
        <v>CAD</v>
      </c>
      <c r="AL54" s="492" t="str">
        <f t="shared" si="0"/>
        <v>EURO</v>
      </c>
      <c r="AM54" s="492"/>
      <c r="AN54" s="492"/>
    </row>
    <row r="55" spans="1:40" s="493" customFormat="1" ht="18.75" customHeight="1" hidden="1">
      <c r="A55" s="15"/>
      <c r="B55" s="598" t="s">
        <v>8</v>
      </c>
      <c r="C55" s="598"/>
      <c r="D55" s="11"/>
      <c r="E55" s="603"/>
      <c r="F55" s="603"/>
      <c r="G55" s="157"/>
      <c r="H55" s="11"/>
      <c r="I55" s="11"/>
      <c r="J55" s="11"/>
      <c r="K55" s="11"/>
      <c r="L55" s="11"/>
      <c r="M55" s="246"/>
      <c r="N55" s="492"/>
      <c r="AJ55" s="490" t="str">
        <f>DIETY!A48</f>
        <v>Katar</v>
      </c>
      <c r="AK55" s="491" t="str">
        <f>DIETY!B48</f>
        <v>EURO</v>
      </c>
      <c r="AL55" s="492" t="str">
        <f t="shared" si="0"/>
        <v>EURO</v>
      </c>
      <c r="AM55" s="492"/>
      <c r="AN55" s="492"/>
    </row>
    <row r="56" spans="1:40" s="493" customFormat="1" ht="18" customHeight="1" hidden="1">
      <c r="A56" s="1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246"/>
      <c r="N56" s="492"/>
      <c r="AJ56" s="490" t="str">
        <f>DIETY!A49</f>
        <v>Kazachstan</v>
      </c>
      <c r="AK56" s="491" t="str">
        <f>DIETY!B49</f>
        <v>EURO</v>
      </c>
      <c r="AL56" s="492" t="str">
        <f t="shared" si="0"/>
        <v>EURO</v>
      </c>
      <c r="AM56" s="492"/>
      <c r="AN56" s="492"/>
    </row>
    <row r="57" spans="1:40" s="493" customFormat="1" ht="18.75" customHeight="1" hidden="1">
      <c r="A57" s="15"/>
      <c r="B57" s="12" t="s">
        <v>6</v>
      </c>
      <c r="C57" s="572">
        <f>'Excelblog.pl - Kwoty słownie'!B24</f>
      </c>
      <c r="D57" s="572"/>
      <c r="E57" s="572"/>
      <c r="F57" s="572"/>
      <c r="G57" s="572"/>
      <c r="H57" s="572"/>
      <c r="I57" s="572"/>
      <c r="J57" s="160"/>
      <c r="K57" s="160"/>
      <c r="L57" s="160"/>
      <c r="M57" s="317"/>
      <c r="N57" s="492"/>
      <c r="AJ57" s="490" t="str">
        <f>DIETY!A50</f>
        <v>Kenia</v>
      </c>
      <c r="AK57" s="491" t="str">
        <f>DIETY!B50</f>
        <v>EURO</v>
      </c>
      <c r="AL57" s="492" t="str">
        <f t="shared" si="0"/>
        <v>EURO</v>
      </c>
      <c r="AM57" s="492"/>
      <c r="AN57" s="492"/>
    </row>
    <row r="58" spans="1:40" s="493" customFormat="1" ht="18" customHeight="1" hidden="1">
      <c r="A58" s="15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246"/>
      <c r="N58" s="492"/>
      <c r="AJ58" s="490" t="str">
        <f>DIETY!A51</f>
        <v>Kirgistan</v>
      </c>
      <c r="AK58" s="491" t="str">
        <f>DIETY!B51</f>
        <v>USD</v>
      </c>
      <c r="AL58" s="492" t="str">
        <f t="shared" si="0"/>
        <v>EURO</v>
      </c>
      <c r="AM58" s="492"/>
      <c r="AN58" s="492"/>
    </row>
    <row r="59" spans="1:40" s="493" customFormat="1" ht="18" customHeight="1" hidden="1">
      <c r="A59" s="15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246"/>
      <c r="N59" s="492"/>
      <c r="AJ59" s="490" t="str">
        <f>DIETY!A52</f>
        <v>Kolumbia</v>
      </c>
      <c r="AK59" s="491" t="str">
        <f>DIETY!B52</f>
        <v>USD</v>
      </c>
      <c r="AL59" s="492" t="str">
        <f t="shared" si="0"/>
        <v>EURO</v>
      </c>
      <c r="AM59" s="492"/>
      <c r="AN59" s="492"/>
    </row>
    <row r="60" spans="1:40" s="493" customFormat="1" ht="18" customHeight="1" hidden="1">
      <c r="A60" s="15"/>
      <c r="B60" s="11"/>
      <c r="C60" s="11"/>
      <c r="D60" s="11"/>
      <c r="E60" s="11"/>
      <c r="F60" s="76"/>
      <c r="G60" s="158"/>
      <c r="H60" s="11"/>
      <c r="I60" s="76"/>
      <c r="J60" s="158"/>
      <c r="K60" s="158"/>
      <c r="L60" s="158"/>
      <c r="M60" s="318"/>
      <c r="N60" s="492"/>
      <c r="AJ60" s="490" t="str">
        <f>DIETY!A53</f>
        <v>Kongo, Demokratyczna Republika Konga</v>
      </c>
      <c r="AK60" s="491" t="str">
        <f>DIETY!B53</f>
        <v>USD</v>
      </c>
      <c r="AL60" s="492" t="str">
        <f t="shared" si="0"/>
        <v>EURO</v>
      </c>
      <c r="AM60" s="492"/>
      <c r="AN60" s="492"/>
    </row>
    <row r="61" spans="1:40" s="493" customFormat="1" ht="18" customHeight="1" hidden="1">
      <c r="A61" s="15"/>
      <c r="B61" s="11"/>
      <c r="C61" s="11"/>
      <c r="D61" s="11"/>
      <c r="E61" s="11"/>
      <c r="F61" s="158"/>
      <c r="G61" s="158"/>
      <c r="H61" s="11"/>
      <c r="I61" s="158"/>
      <c r="J61" s="158"/>
      <c r="K61" s="158"/>
      <c r="L61" s="158"/>
      <c r="M61" s="318"/>
      <c r="N61" s="492"/>
      <c r="AJ61" s="490" t="str">
        <f>DIETY!A54</f>
        <v>Korea Południowa</v>
      </c>
      <c r="AK61" s="491" t="str">
        <f>DIETY!B54</f>
        <v>EURO</v>
      </c>
      <c r="AL61" s="492" t="str">
        <f t="shared" si="0"/>
        <v>EURO</v>
      </c>
      <c r="AM61" s="492"/>
      <c r="AN61" s="492"/>
    </row>
    <row r="62" spans="1:40" s="493" customFormat="1" ht="117.75" customHeight="1" hidden="1">
      <c r="A62" s="15"/>
      <c r="B62" s="11"/>
      <c r="C62" s="11"/>
      <c r="D62" s="11"/>
      <c r="E62" s="11"/>
      <c r="F62" s="158"/>
      <c r="G62" s="158"/>
      <c r="H62" s="11"/>
      <c r="I62" s="158"/>
      <c r="J62" s="158"/>
      <c r="K62" s="158"/>
      <c r="L62" s="158"/>
      <c r="M62" s="318"/>
      <c r="N62" s="492"/>
      <c r="AJ62" s="490" t="str">
        <f>DIETY!A55</f>
        <v>Koreańska Republika Ludowo-Demokratyczna</v>
      </c>
      <c r="AK62" s="491" t="str">
        <f>DIETY!B55</f>
        <v>EURO</v>
      </c>
      <c r="AL62" s="492" t="str">
        <f t="shared" si="0"/>
        <v>EURO</v>
      </c>
      <c r="AM62" s="492"/>
      <c r="AN62" s="492"/>
    </row>
    <row r="63" spans="1:40" s="493" customFormat="1" ht="34.5" customHeight="1" hidden="1">
      <c r="A63" s="15"/>
      <c r="B63" s="11"/>
      <c r="C63" s="11"/>
      <c r="D63" s="11"/>
      <c r="E63" s="11"/>
      <c r="F63" s="158"/>
      <c r="G63" s="158"/>
      <c r="H63" s="11"/>
      <c r="I63" s="158"/>
      <c r="J63" s="158"/>
      <c r="K63" s="158"/>
      <c r="L63" s="158"/>
      <c r="M63" s="318"/>
      <c r="N63" s="492"/>
      <c r="AJ63" s="490" t="str">
        <f>DIETY!A56</f>
        <v>Kostaryka</v>
      </c>
      <c r="AK63" s="491" t="str">
        <f>DIETY!B56</f>
        <v>USD</v>
      </c>
      <c r="AL63" s="492" t="str">
        <f t="shared" si="0"/>
        <v>EURO</v>
      </c>
      <c r="AM63" s="492"/>
      <c r="AN63" s="492"/>
    </row>
    <row r="64" spans="1:40" s="493" customFormat="1" ht="18" customHeight="1" hidden="1">
      <c r="A64" s="15"/>
      <c r="B64" s="11"/>
      <c r="C64" s="11"/>
      <c r="D64" s="11"/>
      <c r="E64" s="11"/>
      <c r="F64" s="20"/>
      <c r="G64" s="20"/>
      <c r="H64" s="20"/>
      <c r="I64" s="20"/>
      <c r="J64" s="20"/>
      <c r="K64" s="20"/>
      <c r="L64" s="20"/>
      <c r="M64" s="319"/>
      <c r="N64" s="492"/>
      <c r="AJ64" s="490" t="str">
        <f>DIETY!A57</f>
        <v>Kuba</v>
      </c>
      <c r="AK64" s="491" t="str">
        <f>DIETY!B57</f>
        <v>EURO</v>
      </c>
      <c r="AL64" s="492" t="str">
        <f t="shared" si="0"/>
        <v>EURO</v>
      </c>
      <c r="AM64" s="492"/>
      <c r="AN64" s="492"/>
    </row>
    <row r="65" spans="1:40" s="493" customFormat="1" ht="18">
      <c r="A65" s="15"/>
      <c r="B65" s="11"/>
      <c r="C65" s="11"/>
      <c r="D65" s="11"/>
      <c r="E65" s="11"/>
      <c r="F65" s="20"/>
      <c r="G65" s="20"/>
      <c r="H65" s="20"/>
      <c r="I65" s="20"/>
      <c r="J65" s="20"/>
      <c r="K65" s="20"/>
      <c r="L65" s="20"/>
      <c r="M65" s="319"/>
      <c r="N65" s="492"/>
      <c r="AJ65" s="490" t="str">
        <f>DIETY!A58</f>
        <v>Kuwejt</v>
      </c>
      <c r="AK65" s="491" t="str">
        <f>DIETY!B58</f>
        <v>EURO</v>
      </c>
      <c r="AL65" s="492" t="str">
        <f t="shared" si="0"/>
        <v>EURO</v>
      </c>
      <c r="AM65" s="492"/>
      <c r="AN65" s="492"/>
    </row>
    <row r="66" spans="1:40" s="493" customFormat="1" ht="101.25" customHeight="1" thickBot="1">
      <c r="A66" s="15"/>
      <c r="B66" s="604">
        <f>IF(AND(T76&gt;=Q76,T76&lt;&gt;0),"DATA POWROTU JEST WCZEŚNIEJSZA LUB RÓWNA DACIE WYJAZDU ! ! !","")&amp;IF(P77&lt;&gt;Q76," BŁĄD W DATACH PRZYJAZDU ! ! !","")&amp;IF(S77&lt;&gt;T76," BŁĄD W DATACH WYJAZDU ! ! !","")&amp;IF(AND(K100+K97&gt;X98,I17&lt;&gt;"WŁAŚCICIEL"),"PRZEKORCZONY LIMIT KWOTY ZA NOCLEG","")</f>
      </c>
      <c r="C66" s="604"/>
      <c r="D66" s="604"/>
      <c r="E66" s="604"/>
      <c r="F66" s="604"/>
      <c r="G66" s="604"/>
      <c r="H66" s="604"/>
      <c r="I66" s="604"/>
      <c r="J66" s="604"/>
      <c r="K66" s="604"/>
      <c r="L66" s="604"/>
      <c r="M66" s="342"/>
      <c r="N66" s="495"/>
      <c r="Z66" s="494" t="s">
        <v>405</v>
      </c>
      <c r="AA66" s="494" t="s">
        <v>406</v>
      </c>
      <c r="AJ66" s="490" t="str">
        <f>DIETY!A59</f>
        <v>Laos</v>
      </c>
      <c r="AK66" s="491" t="str">
        <f>DIETY!B59</f>
        <v>USD</v>
      </c>
      <c r="AL66" s="492" t="str">
        <f t="shared" si="0"/>
        <v>EURO</v>
      </c>
      <c r="AM66" s="496"/>
      <c r="AN66" s="496"/>
    </row>
    <row r="67" spans="1:50" s="501" customFormat="1" ht="18" customHeight="1">
      <c r="A67" s="15"/>
      <c r="B67" s="573" t="s">
        <v>12</v>
      </c>
      <c r="C67" s="548"/>
      <c r="D67" s="549"/>
      <c r="E67" s="547" t="s">
        <v>16</v>
      </c>
      <c r="F67" s="548"/>
      <c r="G67" s="548"/>
      <c r="H67" s="549"/>
      <c r="I67" s="630" t="s">
        <v>17</v>
      </c>
      <c r="J67" s="114" t="s">
        <v>71</v>
      </c>
      <c r="K67" s="114" t="s">
        <v>73</v>
      </c>
      <c r="L67" s="628" t="s">
        <v>18</v>
      </c>
      <c r="M67" s="621" t="s">
        <v>358</v>
      </c>
      <c r="N67" s="493"/>
      <c r="O67" s="493"/>
      <c r="P67" s="497"/>
      <c r="Q67" s="497" t="s">
        <v>105</v>
      </c>
      <c r="R67" s="498" t="s">
        <v>53</v>
      </c>
      <c r="S67" s="499">
        <v>30</v>
      </c>
      <c r="T67" s="497"/>
      <c r="U67" s="497"/>
      <c r="V67" s="497"/>
      <c r="W67" s="640" t="s">
        <v>401</v>
      </c>
      <c r="X67" s="640"/>
      <c r="Y67" s="640"/>
      <c r="Z67" s="497">
        <f>IF(ISNA(VLOOKUP(I22,DIETY!A2:D117,3,FALSE))=TRUE,"0,00",VLOOKUP(I22,DIETY!A2:D117,3,FALSE))</f>
        <v>50</v>
      </c>
      <c r="AA67" s="497">
        <f>IF(ISNA(VLOOKUP(I22,DIETY!A2:D117,4,FALSE))=TRUE,"0,00",VLOOKUP(I22,DIETY!A2:D117,4,FALSE))</f>
        <v>160</v>
      </c>
      <c r="AB67" s="497"/>
      <c r="AC67" s="497"/>
      <c r="AD67" s="497"/>
      <c r="AE67" s="493"/>
      <c r="AF67" s="493"/>
      <c r="AG67" s="493"/>
      <c r="AH67" s="493"/>
      <c r="AI67" s="493"/>
      <c r="AJ67" s="490" t="str">
        <f>DIETY!A60</f>
        <v>Liban</v>
      </c>
      <c r="AK67" s="491" t="str">
        <f>DIETY!B60</f>
        <v>USD</v>
      </c>
      <c r="AL67" s="492" t="str">
        <f t="shared" si="0"/>
        <v>EURO</v>
      </c>
      <c r="AM67" s="500"/>
      <c r="AN67" s="500"/>
      <c r="AO67" s="493"/>
      <c r="AP67" s="493"/>
      <c r="AQ67" s="493"/>
      <c r="AR67" s="493"/>
      <c r="AS67" s="493"/>
      <c r="AT67" s="493"/>
      <c r="AU67" s="493"/>
      <c r="AV67" s="493"/>
      <c r="AW67" s="493"/>
      <c r="AX67" s="493"/>
    </row>
    <row r="68" spans="1:50" s="501" customFormat="1" ht="18.75" customHeight="1" thickBot="1">
      <c r="A68" s="15"/>
      <c r="B68" s="33" t="s">
        <v>13</v>
      </c>
      <c r="C68" s="32" t="s">
        <v>14</v>
      </c>
      <c r="D68" s="32" t="s">
        <v>96</v>
      </c>
      <c r="E68" s="574" t="s">
        <v>13</v>
      </c>
      <c r="F68" s="575"/>
      <c r="G68" s="574" t="s">
        <v>97</v>
      </c>
      <c r="H68" s="575"/>
      <c r="I68" s="631"/>
      <c r="J68" s="115" t="s">
        <v>72</v>
      </c>
      <c r="K68" s="115" t="s">
        <v>74</v>
      </c>
      <c r="L68" s="629"/>
      <c r="M68" s="622"/>
      <c r="N68" s="502"/>
      <c r="O68" s="493"/>
      <c r="P68" s="503" t="s">
        <v>100</v>
      </c>
      <c r="Q68" s="503" t="s">
        <v>98</v>
      </c>
      <c r="R68" s="493"/>
      <c r="S68" s="503" t="s">
        <v>99</v>
      </c>
      <c r="T68" s="503" t="s">
        <v>98</v>
      </c>
      <c r="U68" s="503"/>
      <c r="V68" s="497"/>
      <c r="W68" s="504" t="s">
        <v>399</v>
      </c>
      <c r="X68" s="503"/>
      <c r="Y68" s="504" t="s">
        <v>400</v>
      </c>
      <c r="Z68" s="497"/>
      <c r="AA68" s="497"/>
      <c r="AB68" s="497"/>
      <c r="AC68" s="504" t="s">
        <v>402</v>
      </c>
      <c r="AD68" s="504"/>
      <c r="AE68" s="493"/>
      <c r="AF68" s="493"/>
      <c r="AG68" s="493"/>
      <c r="AH68" s="493"/>
      <c r="AI68" s="493"/>
      <c r="AJ68" s="490" t="str">
        <f>DIETY!A61</f>
        <v>Libia</v>
      </c>
      <c r="AK68" s="491" t="str">
        <f>DIETY!B61</f>
        <v>EURO</v>
      </c>
      <c r="AL68" s="492" t="str">
        <f t="shared" si="0"/>
        <v>EURO</v>
      </c>
      <c r="AM68" s="500"/>
      <c r="AN68" s="500"/>
      <c r="AO68" s="493"/>
      <c r="AP68" s="493"/>
      <c r="AQ68" s="493"/>
      <c r="AR68" s="493"/>
      <c r="AS68" s="493"/>
      <c r="AT68" s="493"/>
      <c r="AU68" s="493"/>
      <c r="AV68" s="493"/>
      <c r="AW68" s="493"/>
      <c r="AX68" s="493"/>
    </row>
    <row r="69" spans="1:50" s="501" customFormat="1" ht="18.75" customHeight="1">
      <c r="A69" s="15"/>
      <c r="B69" s="252"/>
      <c r="C69" s="253"/>
      <c r="D69" s="262">
        <v>41305</v>
      </c>
      <c r="E69" s="543"/>
      <c r="F69" s="544"/>
      <c r="G69" s="545">
        <v>41305.0000115741</v>
      </c>
      <c r="H69" s="546"/>
      <c r="I69" s="265" t="s">
        <v>412</v>
      </c>
      <c r="J69" s="254"/>
      <c r="K69" s="120">
        <f>IF(AND(I69=B32,N69=$R$32),IF(OR(J69&gt;0,OR($B69=0,$D69=0,$E69=0,$G69=0)),$T$29,0),0)</f>
        <v>0</v>
      </c>
      <c r="L69" s="88">
        <f>J69*K69</f>
        <v>0</v>
      </c>
      <c r="M69" s="442"/>
      <c r="N69" s="493" t="str">
        <f>IF(ISNA(VLOOKUP(I69,$P$22:$R$28,3,FALSE))=TRUE,"0,00",VLOOKUP(I69,$P$22:$R$28,3,FALSE))</f>
        <v>0,00</v>
      </c>
      <c r="O69" s="493"/>
      <c r="P69" s="505">
        <f>IF(AND(G69&lt;&gt;0,G70=0),G69,0)</f>
        <v>0</v>
      </c>
      <c r="Q69" s="506">
        <f>IF(AND(G69&lt;&gt;0,G69&gt;G70),G69,0)</f>
        <v>0</v>
      </c>
      <c r="R69" s="507"/>
      <c r="S69" s="505">
        <f>IF(AND(D69&lt;&gt;0,D70=0),D69,0)</f>
        <v>0</v>
      </c>
      <c r="T69" s="505">
        <f>IF(AND(D69&lt;&gt;0,D69&gt;D70),D69,0)</f>
        <v>0</v>
      </c>
      <c r="U69" s="505"/>
      <c r="V69" s="497"/>
      <c r="W69" s="508">
        <f>IF(M69&lt;&gt;0,D69,0)</f>
        <v>0</v>
      </c>
      <c r="X69" s="509">
        <f>IF(W69&lt;&gt;0,W69,0)</f>
        <v>0</v>
      </c>
      <c r="Y69" s="508">
        <f aca="true" t="shared" si="6" ref="Y69:Y75">IF(AND(M69&lt;&gt;0,Y70=0),G69,0)</f>
        <v>0</v>
      </c>
      <c r="Z69" s="509">
        <f>IF(Y69&lt;&gt;0,Y69,0)</f>
        <v>0</v>
      </c>
      <c r="AA69" s="510"/>
      <c r="AB69" s="497"/>
      <c r="AC69" s="511">
        <f>IF(M69&lt;&gt;0,L69,0)</f>
        <v>0</v>
      </c>
      <c r="AD69" s="497"/>
      <c r="AE69" s="493"/>
      <c r="AF69" s="493"/>
      <c r="AG69" s="493"/>
      <c r="AH69" s="493"/>
      <c r="AI69" s="493"/>
      <c r="AJ69" s="490" t="str">
        <f>DIETY!A62</f>
        <v>Liechtenstein</v>
      </c>
      <c r="AK69" s="491" t="str">
        <f>DIETY!B62</f>
        <v>CHF</v>
      </c>
      <c r="AL69" s="492" t="str">
        <f t="shared" si="0"/>
        <v>EURO</v>
      </c>
      <c r="AM69" s="500"/>
      <c r="AN69" s="500"/>
      <c r="AO69" s="493"/>
      <c r="AP69" s="493"/>
      <c r="AQ69" s="493"/>
      <c r="AR69" s="493"/>
      <c r="AS69" s="493"/>
      <c r="AT69" s="493"/>
      <c r="AU69" s="493"/>
      <c r="AV69" s="493"/>
      <c r="AW69" s="493"/>
      <c r="AX69" s="493"/>
    </row>
    <row r="70" spans="1:50" s="501" customFormat="1" ht="18.75" customHeight="1">
      <c r="A70" s="15"/>
      <c r="B70" s="252"/>
      <c r="C70" s="253"/>
      <c r="D70" s="262">
        <v>41305.0000231481</v>
      </c>
      <c r="E70" s="543"/>
      <c r="F70" s="544"/>
      <c r="G70" s="545">
        <v>41305.0000347222</v>
      </c>
      <c r="H70" s="546"/>
      <c r="I70" s="265" t="s">
        <v>412</v>
      </c>
      <c r="J70" s="254"/>
      <c r="K70" s="120">
        <f>IF(AND(I70=B32,N70=$R$32),IF(OR(J70&gt;0,OR($B70=0,$D70=0,$E70=0,$G70=0)),$T$29,0),0)</f>
        <v>0</v>
      </c>
      <c r="L70" s="88">
        <f aca="true" t="shared" si="7" ref="L70:L76">J70*K70</f>
        <v>0</v>
      </c>
      <c r="M70" s="443" t="s">
        <v>358</v>
      </c>
      <c r="N70" s="493" t="str">
        <f aca="true" t="shared" si="8" ref="N70:N76">IF(ISNA(VLOOKUP(I70,$P$22:$R$28,3,FALSE))=TRUE,"0,00",VLOOKUP(I70,$P$22:$R$28,3,FALSE))</f>
        <v>0,00</v>
      </c>
      <c r="O70" s="493"/>
      <c r="P70" s="505">
        <f>IF(AND(G71=0,G70&lt;&gt;0),G70,0)</f>
        <v>0</v>
      </c>
      <c r="Q70" s="506">
        <f>IF(AND(G70&lt;&gt;0,G70&gt;G69,G70&gt;Q69),G70,Q69)</f>
        <v>41305.0000347222</v>
      </c>
      <c r="R70" s="507"/>
      <c r="S70" s="505">
        <f aca="true" t="shared" si="9" ref="S70:S75">IF(AND(D71=0,D70&lt;&gt;0),D70,0)</f>
        <v>0</v>
      </c>
      <c r="T70" s="505">
        <f aca="true" t="shared" si="10" ref="T70:T76">IF(AND(D70&lt;&gt;0,D70&gt;D69,D70&gt;T69),D70,T69)</f>
        <v>41305.0000231481</v>
      </c>
      <c r="U70" s="505"/>
      <c r="V70" s="512"/>
      <c r="W70" s="508">
        <f aca="true" t="shared" si="11" ref="W70:W76">IF(AND(M70&lt;&gt;0,W69=0),D70,0)</f>
        <v>41305.0000231481</v>
      </c>
      <c r="X70" s="509">
        <f>IF(X69=0,W70,X69)</f>
        <v>41305.0000231481</v>
      </c>
      <c r="Y70" s="508">
        <f t="shared" si="6"/>
        <v>0</v>
      </c>
      <c r="Z70" s="509">
        <f>IF(AND(Y70&lt;&gt;0,Y70&gt;Z69),Y70,Z69)</f>
        <v>0</v>
      </c>
      <c r="AA70" s="513"/>
      <c r="AB70" s="497"/>
      <c r="AC70" s="511">
        <f aca="true" t="shared" si="12" ref="AC70:AC76">IF(M70&lt;&gt;0,L70,0)</f>
        <v>0</v>
      </c>
      <c r="AD70" s="503"/>
      <c r="AE70" s="493"/>
      <c r="AF70" s="493"/>
      <c r="AG70" s="493"/>
      <c r="AH70" s="493"/>
      <c r="AI70" s="493"/>
      <c r="AJ70" s="490" t="str">
        <f>DIETY!A63</f>
        <v>Litwa</v>
      </c>
      <c r="AK70" s="491" t="str">
        <f>DIETY!B63</f>
        <v>EURO</v>
      </c>
      <c r="AL70" s="492" t="str">
        <f t="shared" si="0"/>
        <v>EURO</v>
      </c>
      <c r="AM70" s="500"/>
      <c r="AN70" s="500"/>
      <c r="AO70" s="493"/>
      <c r="AP70" s="493"/>
      <c r="AQ70" s="493"/>
      <c r="AR70" s="493"/>
      <c r="AS70" s="493"/>
      <c r="AT70" s="493"/>
      <c r="AU70" s="493"/>
      <c r="AV70" s="493"/>
      <c r="AW70" s="493"/>
      <c r="AX70" s="493"/>
    </row>
    <row r="71" spans="1:50" s="501" customFormat="1" ht="18.75" customHeight="1">
      <c r="A71" s="15"/>
      <c r="B71" s="252"/>
      <c r="C71" s="253"/>
      <c r="D71" s="262">
        <v>41305.0000462963</v>
      </c>
      <c r="E71" s="543"/>
      <c r="F71" s="544"/>
      <c r="G71" s="545">
        <v>41306.0000578704</v>
      </c>
      <c r="H71" s="546"/>
      <c r="I71" s="265" t="s">
        <v>412</v>
      </c>
      <c r="J71" s="254"/>
      <c r="K71" s="120">
        <f>IF(AND(I71=B32,N71=$R$32),IF(OR(J71&gt;0,OR($B71=0,$D71=0,$E71=0,$G71=0)),$T$29,0),0)</f>
        <v>0</v>
      </c>
      <c r="L71" s="88">
        <f t="shared" si="7"/>
        <v>0</v>
      </c>
      <c r="M71" s="443" t="s">
        <v>358</v>
      </c>
      <c r="N71" s="493" t="str">
        <f t="shared" si="8"/>
        <v>0,00</v>
      </c>
      <c r="O71" s="493"/>
      <c r="P71" s="505">
        <f>IF(AND(G72=0,G71&lt;&gt;0),G71,0)</f>
        <v>0</v>
      </c>
      <c r="Q71" s="506">
        <f>IF(AND(G71&lt;&gt;0,G71&gt;G70,G71&gt;Q70),G71,Q70)</f>
        <v>41306.0000578704</v>
      </c>
      <c r="R71" s="507"/>
      <c r="S71" s="505">
        <f t="shared" si="9"/>
        <v>0</v>
      </c>
      <c r="T71" s="505">
        <f t="shared" si="10"/>
        <v>41305.0000462963</v>
      </c>
      <c r="U71" s="505"/>
      <c r="V71" s="512"/>
      <c r="W71" s="508">
        <f t="shared" si="11"/>
        <v>0</v>
      </c>
      <c r="X71" s="509">
        <f aca="true" t="shared" si="13" ref="X71:X76">IF(X70=0,W71,X70)</f>
        <v>41305.0000231481</v>
      </c>
      <c r="Y71" s="508">
        <f t="shared" si="6"/>
        <v>41306.0000578704</v>
      </c>
      <c r="Z71" s="509">
        <f aca="true" t="shared" si="14" ref="Z71:Z76">IF(AND(Y71&lt;&gt;0,Y71&gt;Z70),Y71,Z70)</f>
        <v>41306.0000578704</v>
      </c>
      <c r="AA71" s="514"/>
      <c r="AB71" s="497"/>
      <c r="AC71" s="511">
        <f t="shared" si="12"/>
        <v>0</v>
      </c>
      <c r="AD71" s="503"/>
      <c r="AE71" s="493"/>
      <c r="AF71" s="493"/>
      <c r="AG71" s="493"/>
      <c r="AH71" s="493"/>
      <c r="AI71" s="493"/>
      <c r="AJ71" s="490" t="str">
        <f>DIETY!A64</f>
        <v>Luksemburg</v>
      </c>
      <c r="AK71" s="491" t="str">
        <f>DIETY!B64</f>
        <v>EURO</v>
      </c>
      <c r="AL71" s="492" t="str">
        <f t="shared" si="0"/>
        <v>EURO</v>
      </c>
      <c r="AM71" s="500"/>
      <c r="AN71" s="500"/>
      <c r="AO71" s="493"/>
      <c r="AP71" s="493"/>
      <c r="AQ71" s="493"/>
      <c r="AR71" s="493"/>
      <c r="AS71" s="493"/>
      <c r="AT71" s="493"/>
      <c r="AU71" s="493"/>
      <c r="AV71" s="493"/>
      <c r="AW71" s="493"/>
      <c r="AX71" s="493"/>
    </row>
    <row r="72" spans="1:50" s="501" customFormat="1" ht="18.75" customHeight="1">
      <c r="A72" s="15"/>
      <c r="B72" s="252"/>
      <c r="C72" s="253"/>
      <c r="D72" s="262">
        <v>41306.0000694444</v>
      </c>
      <c r="E72" s="543"/>
      <c r="F72" s="544"/>
      <c r="G72" s="545">
        <v>41307.0000810185</v>
      </c>
      <c r="H72" s="546"/>
      <c r="I72" s="265" t="s">
        <v>412</v>
      </c>
      <c r="J72" s="254"/>
      <c r="K72" s="120">
        <f>IF(AND(I72=B32,N72=$R$32),IF(OR(J72&gt;0,OR($B72=0,$D72=0,$E72=0,$G72=0)),$T$29,0),0)</f>
        <v>0</v>
      </c>
      <c r="L72" s="88">
        <f t="shared" si="7"/>
        <v>0</v>
      </c>
      <c r="M72" s="443"/>
      <c r="N72" s="493" t="str">
        <f t="shared" si="8"/>
        <v>0,00</v>
      </c>
      <c r="O72" s="493"/>
      <c r="P72" s="505">
        <f>IF(AND(G73=0,G72&lt;&gt;0),G72,0)</f>
        <v>41307.0000810185</v>
      </c>
      <c r="Q72" s="506">
        <f>IF(AND(G72&lt;&gt;0,G72&gt;G71,G72&gt;Q71),G72,Q71)</f>
        <v>41307.0000810185</v>
      </c>
      <c r="R72" s="507"/>
      <c r="S72" s="505">
        <f t="shared" si="9"/>
        <v>41306.0000694444</v>
      </c>
      <c r="T72" s="505">
        <f t="shared" si="10"/>
        <v>41306.0000694444</v>
      </c>
      <c r="U72" s="505"/>
      <c r="V72" s="512"/>
      <c r="W72" s="508">
        <f t="shared" si="11"/>
        <v>0</v>
      </c>
      <c r="X72" s="509">
        <f t="shared" si="13"/>
        <v>41305.0000231481</v>
      </c>
      <c r="Y72" s="508">
        <f t="shared" si="6"/>
        <v>0</v>
      </c>
      <c r="Z72" s="509">
        <f t="shared" si="14"/>
        <v>41306.0000578704</v>
      </c>
      <c r="AA72" s="497"/>
      <c r="AB72" s="497"/>
      <c r="AC72" s="511">
        <f t="shared" si="12"/>
        <v>0</v>
      </c>
      <c r="AD72" s="503"/>
      <c r="AE72" s="493"/>
      <c r="AF72" s="493"/>
      <c r="AG72" s="493"/>
      <c r="AH72" s="493"/>
      <c r="AI72" s="493"/>
      <c r="AJ72" s="490" t="str">
        <f>DIETY!A65</f>
        <v>Łotwa</v>
      </c>
      <c r="AK72" s="491" t="str">
        <f>DIETY!B65</f>
        <v>EURO</v>
      </c>
      <c r="AL72" s="492" t="str">
        <f t="shared" si="0"/>
        <v>EURO</v>
      </c>
      <c r="AM72" s="500"/>
      <c r="AN72" s="500"/>
      <c r="AO72" s="493"/>
      <c r="AP72" s="493"/>
      <c r="AQ72" s="493"/>
      <c r="AR72" s="493"/>
      <c r="AS72" s="493"/>
      <c r="AT72" s="493"/>
      <c r="AU72" s="493"/>
      <c r="AV72" s="493"/>
      <c r="AW72" s="493"/>
      <c r="AX72" s="493"/>
    </row>
    <row r="73" spans="1:50" s="501" customFormat="1" ht="18.75" customHeight="1">
      <c r="A73" s="15"/>
      <c r="B73" s="252"/>
      <c r="C73" s="253"/>
      <c r="D73" s="262"/>
      <c r="E73" s="543"/>
      <c r="F73" s="544"/>
      <c r="G73" s="545"/>
      <c r="H73" s="546"/>
      <c r="I73" s="265"/>
      <c r="J73" s="254"/>
      <c r="K73" s="120">
        <f>IF(AND(I73=B32,N73=$R$32),IF(OR(J73&gt;0,OR($B73=0,$D73=0,$E73=0,$G73=0)),$T$29,0),0)</f>
        <v>0</v>
      </c>
      <c r="L73" s="88">
        <f t="shared" si="7"/>
        <v>0</v>
      </c>
      <c r="M73" s="443"/>
      <c r="N73" s="493" t="str">
        <f t="shared" si="8"/>
        <v>0,00</v>
      </c>
      <c r="O73" s="493"/>
      <c r="P73" s="505">
        <f>IF(AND(G74=0,G73&lt;&gt;0),G73,0)</f>
        <v>0</v>
      </c>
      <c r="Q73" s="506">
        <f>IF(AND(G73&lt;&gt;0,G73&gt;G72,G73&gt;Q72),G73,Q72)</f>
        <v>41307.0000810185</v>
      </c>
      <c r="R73" s="507"/>
      <c r="S73" s="505">
        <f t="shared" si="9"/>
        <v>0</v>
      </c>
      <c r="T73" s="505">
        <f t="shared" si="10"/>
        <v>41306.0000694444</v>
      </c>
      <c r="U73" s="505"/>
      <c r="V73" s="512"/>
      <c r="W73" s="508">
        <f t="shared" si="11"/>
        <v>0</v>
      </c>
      <c r="X73" s="509">
        <f t="shared" si="13"/>
        <v>41305.0000231481</v>
      </c>
      <c r="Y73" s="508">
        <f t="shared" si="6"/>
        <v>0</v>
      </c>
      <c r="Z73" s="509">
        <f t="shared" si="14"/>
        <v>41306.0000578704</v>
      </c>
      <c r="AA73" s="512"/>
      <c r="AB73" s="497"/>
      <c r="AC73" s="511">
        <f t="shared" si="12"/>
        <v>0</v>
      </c>
      <c r="AD73" s="503"/>
      <c r="AE73" s="493"/>
      <c r="AF73" s="493"/>
      <c r="AG73" s="493"/>
      <c r="AH73" s="493"/>
      <c r="AI73" s="493"/>
      <c r="AJ73" s="490" t="str">
        <f>DIETY!A66</f>
        <v>Macedonia</v>
      </c>
      <c r="AK73" s="491" t="str">
        <f>DIETY!B66</f>
        <v>EURO</v>
      </c>
      <c r="AL73" s="492" t="str">
        <f t="shared" si="0"/>
        <v>EURO</v>
      </c>
      <c r="AM73" s="500"/>
      <c r="AN73" s="500"/>
      <c r="AO73" s="493"/>
      <c r="AP73" s="493"/>
      <c r="AQ73" s="493"/>
      <c r="AR73" s="493"/>
      <c r="AS73" s="493"/>
      <c r="AT73" s="493"/>
      <c r="AU73" s="493"/>
      <c r="AV73" s="493"/>
      <c r="AW73" s="493"/>
      <c r="AX73" s="493"/>
    </row>
    <row r="74" spans="1:50" s="501" customFormat="1" ht="18.75" customHeight="1">
      <c r="A74" s="15"/>
      <c r="B74" s="252"/>
      <c r="C74" s="253"/>
      <c r="D74" s="262"/>
      <c r="E74" s="543"/>
      <c r="F74" s="544"/>
      <c r="G74" s="545"/>
      <c r="H74" s="546"/>
      <c r="I74" s="265"/>
      <c r="J74" s="254"/>
      <c r="K74" s="120">
        <f>IF(AND(I74=B32,N74=$R$32),IF(OR(J74&gt;0,OR($B74=0,$D74=0,$E74=0,$G74=0)),$T$29,0),0)</f>
        <v>0</v>
      </c>
      <c r="L74" s="88">
        <f t="shared" si="7"/>
        <v>0</v>
      </c>
      <c r="M74" s="443"/>
      <c r="N74" s="493" t="str">
        <f t="shared" si="8"/>
        <v>0,00</v>
      </c>
      <c r="O74" s="493"/>
      <c r="P74" s="505">
        <f>IF(AND(H75=0,G74&lt;&gt;0),G74,0)</f>
        <v>0</v>
      </c>
      <c r="Q74" s="506">
        <f>IF(AND(G74&lt;&gt;0,G74&gt;G73,G74&gt;Q73),G74,Q73)</f>
        <v>41307.0000810185</v>
      </c>
      <c r="R74" s="507"/>
      <c r="S74" s="505">
        <f t="shared" si="9"/>
        <v>0</v>
      </c>
      <c r="T74" s="505">
        <f t="shared" si="10"/>
        <v>41306.0000694444</v>
      </c>
      <c r="U74" s="505"/>
      <c r="V74" s="497"/>
      <c r="W74" s="508">
        <f t="shared" si="11"/>
        <v>0</v>
      </c>
      <c r="X74" s="509">
        <f t="shared" si="13"/>
        <v>41305.0000231481</v>
      </c>
      <c r="Y74" s="508">
        <f t="shared" si="6"/>
        <v>0</v>
      </c>
      <c r="Z74" s="509">
        <f t="shared" si="14"/>
        <v>41306.0000578704</v>
      </c>
      <c r="AA74" s="497"/>
      <c r="AB74" s="497"/>
      <c r="AC74" s="511">
        <f t="shared" si="12"/>
        <v>0</v>
      </c>
      <c r="AD74" s="503"/>
      <c r="AE74" s="493"/>
      <c r="AF74" s="493"/>
      <c r="AG74" s="493"/>
      <c r="AH74" s="493"/>
      <c r="AI74" s="493"/>
      <c r="AJ74" s="490" t="str">
        <f>DIETY!A67</f>
        <v>Malezja</v>
      </c>
      <c r="AK74" s="491" t="str">
        <f>DIETY!B67</f>
        <v>EURO</v>
      </c>
      <c r="AL74" s="492" t="str">
        <f t="shared" si="0"/>
        <v>EURO</v>
      </c>
      <c r="AM74" s="500"/>
      <c r="AN74" s="500"/>
      <c r="AO74" s="493"/>
      <c r="AP74" s="493"/>
      <c r="AQ74" s="493"/>
      <c r="AR74" s="493"/>
      <c r="AS74" s="493"/>
      <c r="AT74" s="493"/>
      <c r="AU74" s="493"/>
      <c r="AV74" s="493"/>
      <c r="AW74" s="493"/>
      <c r="AX74" s="493"/>
    </row>
    <row r="75" spans="1:50" s="501" customFormat="1" ht="18" customHeight="1">
      <c r="A75" s="15"/>
      <c r="B75" s="252"/>
      <c r="C75" s="253"/>
      <c r="D75" s="262"/>
      <c r="E75" s="543"/>
      <c r="F75" s="544"/>
      <c r="G75" s="650"/>
      <c r="H75" s="651"/>
      <c r="I75" s="265"/>
      <c r="J75" s="254"/>
      <c r="K75" s="120">
        <f>IF(AND(I75=B32,N75=$R$32),IF(OR(J75&gt;0,OR($B75=0,$D75=0,$E75=0,$H75=0)),$T$29,0),0)</f>
        <v>0</v>
      </c>
      <c r="L75" s="88">
        <f t="shared" si="7"/>
        <v>0</v>
      </c>
      <c r="M75" s="443"/>
      <c r="N75" s="493" t="str">
        <f t="shared" si="8"/>
        <v>0,00</v>
      </c>
      <c r="O75" s="493"/>
      <c r="P75" s="505">
        <f>IF(AND(H76=0,H75&lt;&gt;0),H75,0)</f>
        <v>0</v>
      </c>
      <c r="Q75" s="506">
        <f>IF(AND(H75&lt;&gt;0,H75&gt;G74,H75&gt;Q74),H75,Q74)</f>
        <v>41307.0000810185</v>
      </c>
      <c r="R75" s="507"/>
      <c r="S75" s="505">
        <f t="shared" si="9"/>
        <v>0</v>
      </c>
      <c r="T75" s="505">
        <f t="shared" si="10"/>
        <v>41306.0000694444</v>
      </c>
      <c r="U75" s="505"/>
      <c r="V75" s="497"/>
      <c r="W75" s="508">
        <f t="shared" si="11"/>
        <v>0</v>
      </c>
      <c r="X75" s="509">
        <f t="shared" si="13"/>
        <v>41305.0000231481</v>
      </c>
      <c r="Y75" s="508">
        <f t="shared" si="6"/>
        <v>0</v>
      </c>
      <c r="Z75" s="509">
        <f t="shared" si="14"/>
        <v>41306.0000578704</v>
      </c>
      <c r="AA75" s="497"/>
      <c r="AB75" s="497"/>
      <c r="AC75" s="511">
        <f t="shared" si="12"/>
        <v>0</v>
      </c>
      <c r="AD75" s="503"/>
      <c r="AE75" s="493"/>
      <c r="AF75" s="493"/>
      <c r="AG75" s="493"/>
      <c r="AH75" s="493"/>
      <c r="AI75" s="493"/>
      <c r="AJ75" s="490" t="str">
        <f>DIETY!A68</f>
        <v>Malta</v>
      </c>
      <c r="AK75" s="491" t="str">
        <f>DIETY!B68</f>
        <v>EURO</v>
      </c>
      <c r="AL75" s="492" t="str">
        <f aca="true" t="shared" si="15" ref="AL75:AL126">IF($I$22=AJ75,AK75,AL74)</f>
        <v>EURO</v>
      </c>
      <c r="AM75" s="500"/>
      <c r="AN75" s="500"/>
      <c r="AO75" s="493"/>
      <c r="AP75" s="493"/>
      <c r="AQ75" s="493"/>
      <c r="AR75" s="493"/>
      <c r="AS75" s="493"/>
      <c r="AT75" s="493"/>
      <c r="AU75" s="493"/>
      <c r="AV75" s="493"/>
      <c r="AW75" s="493"/>
      <c r="AX75" s="493"/>
    </row>
    <row r="76" spans="1:50" s="501" customFormat="1" ht="18.75" customHeight="1" thickBot="1">
      <c r="A76" s="15"/>
      <c r="B76" s="278"/>
      <c r="C76" s="279"/>
      <c r="D76" s="280"/>
      <c r="E76" s="599"/>
      <c r="F76" s="600"/>
      <c r="G76" s="562"/>
      <c r="H76" s="563"/>
      <c r="I76" s="281"/>
      <c r="J76" s="255"/>
      <c r="K76" s="282">
        <f>IF(AND(I76=B32,N76=$R$32),IF(OR(J76&gt;0,OR($B76=0,$D76=0,$E76=0,$H76=0)),$T$29,0),0)</f>
        <v>0</v>
      </c>
      <c r="L76" s="283">
        <f t="shared" si="7"/>
        <v>0</v>
      </c>
      <c r="M76" s="444"/>
      <c r="N76" s="493" t="str">
        <f t="shared" si="8"/>
        <v>0,00</v>
      </c>
      <c r="O76" s="493"/>
      <c r="P76" s="505">
        <f>IF(AND(H80=0),H76,0)</f>
        <v>0</v>
      </c>
      <c r="Q76" s="506">
        <f>IF(AND(H76&lt;&gt;0,H76&gt;H75,H76&gt;Q75),H76,Q75)</f>
        <v>41307.0000810185</v>
      </c>
      <c r="R76" s="507"/>
      <c r="S76" s="505">
        <f>IF(AND(D80=0,D76&lt;&gt;0),D76,0)</f>
        <v>0</v>
      </c>
      <c r="T76" s="505">
        <f t="shared" si="10"/>
        <v>41306.0000694444</v>
      </c>
      <c r="U76" s="505"/>
      <c r="V76" s="497"/>
      <c r="W76" s="508">
        <f t="shared" si="11"/>
        <v>0</v>
      </c>
      <c r="X76" s="509">
        <f t="shared" si="13"/>
        <v>41305.0000231481</v>
      </c>
      <c r="Y76" s="508">
        <f>IF(M76&lt;&gt;0,G76,0)</f>
        <v>0</v>
      </c>
      <c r="Z76" s="509">
        <f t="shared" si="14"/>
        <v>41306.0000578704</v>
      </c>
      <c r="AA76" s="497"/>
      <c r="AB76" s="497"/>
      <c r="AC76" s="511">
        <f t="shared" si="12"/>
        <v>0</v>
      </c>
      <c r="AD76" s="503"/>
      <c r="AE76" s="493"/>
      <c r="AF76" s="493"/>
      <c r="AG76" s="493"/>
      <c r="AH76" s="493"/>
      <c r="AI76" s="493"/>
      <c r="AJ76" s="490" t="str">
        <f>DIETY!A69</f>
        <v>Maroko</v>
      </c>
      <c r="AK76" s="491" t="str">
        <f>DIETY!B69</f>
        <v>EURO</v>
      </c>
      <c r="AL76" s="492" t="str">
        <f t="shared" si="15"/>
        <v>EURO</v>
      </c>
      <c r="AM76" s="500"/>
      <c r="AN76" s="500"/>
      <c r="AO76" s="493"/>
      <c r="AP76" s="493"/>
      <c r="AQ76" s="493"/>
      <c r="AR76" s="493"/>
      <c r="AS76" s="493"/>
      <c r="AT76" s="493"/>
      <c r="AU76" s="493"/>
      <c r="AV76" s="493"/>
      <c r="AW76" s="493"/>
      <c r="AX76" s="493"/>
    </row>
    <row r="77" spans="1:50" s="501" customFormat="1" ht="18.75" customHeight="1">
      <c r="A77" s="15"/>
      <c r="B77" s="264"/>
      <c r="C77" s="264"/>
      <c r="D77" s="264"/>
      <c r="E77" s="264"/>
      <c r="F77" s="264"/>
      <c r="G77" s="264"/>
      <c r="H77" s="264"/>
      <c r="I77" s="264"/>
      <c r="J77" s="264"/>
      <c r="K77" s="644" t="s">
        <v>114</v>
      </c>
      <c r="L77" s="647" t="s">
        <v>115</v>
      </c>
      <c r="M77" s="320"/>
      <c r="N77" s="515"/>
      <c r="O77" s="493"/>
      <c r="P77" s="505">
        <f>SUM(P69:P76)</f>
        <v>41307.0000810185</v>
      </c>
      <c r="Q77" s="507"/>
      <c r="R77" s="516"/>
      <c r="S77" s="517">
        <f>SUM(S69:S76)</f>
        <v>41306.0000694444</v>
      </c>
      <c r="T77" s="518"/>
      <c r="U77" s="518"/>
      <c r="V77" s="497"/>
      <c r="W77" s="508">
        <f>X76</f>
        <v>41305.0000231481</v>
      </c>
      <c r="X77" s="497"/>
      <c r="Y77" s="508">
        <f>Z76</f>
        <v>41306.0000578704</v>
      </c>
      <c r="Z77" s="497"/>
      <c r="AA77" s="497"/>
      <c r="AB77" s="497"/>
      <c r="AC77" s="511">
        <f>SUM(AC69:AC76)</f>
        <v>0</v>
      </c>
      <c r="AD77" s="503"/>
      <c r="AE77" s="493"/>
      <c r="AF77" s="493"/>
      <c r="AG77" s="493"/>
      <c r="AH77" s="493"/>
      <c r="AI77" s="493"/>
      <c r="AJ77" s="490" t="str">
        <f>DIETY!A70</f>
        <v>Meksyk</v>
      </c>
      <c r="AK77" s="491" t="str">
        <f>DIETY!B70</f>
        <v>USD</v>
      </c>
      <c r="AL77" s="492" t="str">
        <f t="shared" si="15"/>
        <v>EURO</v>
      </c>
      <c r="AM77" s="500"/>
      <c r="AN77" s="500"/>
      <c r="AO77" s="493"/>
      <c r="AP77" s="493"/>
      <c r="AQ77" s="493"/>
      <c r="AR77" s="493"/>
      <c r="AS77" s="493"/>
      <c r="AT77" s="493"/>
      <c r="AU77" s="493"/>
      <c r="AV77" s="493"/>
      <c r="AW77" s="493"/>
      <c r="AX77" s="493"/>
    </row>
    <row r="78" spans="1:50" s="501" customFormat="1" ht="18">
      <c r="A78" s="15"/>
      <c r="B78" s="270" t="s">
        <v>398</v>
      </c>
      <c r="C78" s="264"/>
      <c r="D78" s="406" t="str">
        <f>'WZÓR FV ZAKUP'!C9</f>
        <v>EURO</v>
      </c>
      <c r="E78" s="577">
        <f>'WZÓR FV ZAKUP'!L9</f>
        <v>4.2048</v>
      </c>
      <c r="F78" s="577"/>
      <c r="G78" s="405" t="s">
        <v>397</v>
      </c>
      <c r="H78" s="400">
        <f>'WZÓR FV ZAKUP'!AA9</f>
        <v>29</v>
      </c>
      <c r="I78" s="287" t="str">
        <f>'WZÓR FV ZAKUP'!AB9</f>
        <v>/A/NBP/2012</v>
      </c>
      <c r="J78" s="284"/>
      <c r="K78" s="645"/>
      <c r="L78" s="648"/>
      <c r="M78" s="409" t="s">
        <v>358</v>
      </c>
      <c r="N78" s="515"/>
      <c r="O78" s="493"/>
      <c r="P78" s="497"/>
      <c r="Q78" s="497"/>
      <c r="R78" s="497"/>
      <c r="S78" s="497"/>
      <c r="T78" s="497"/>
      <c r="U78" s="497"/>
      <c r="V78" s="497"/>
      <c r="W78" s="497"/>
      <c r="X78" s="497"/>
      <c r="Y78" s="497"/>
      <c r="Z78" s="497"/>
      <c r="AA78" s="497"/>
      <c r="AB78" s="497"/>
      <c r="AC78" s="497"/>
      <c r="AD78" s="497"/>
      <c r="AE78" s="493"/>
      <c r="AF78" s="493"/>
      <c r="AG78" s="493"/>
      <c r="AH78" s="493"/>
      <c r="AI78" s="493"/>
      <c r="AJ78" s="490" t="str">
        <f>DIETY!A71</f>
        <v>Mołdowa</v>
      </c>
      <c r="AK78" s="491" t="str">
        <f>DIETY!B71</f>
        <v>EURO</v>
      </c>
      <c r="AL78" s="492" t="str">
        <f t="shared" si="15"/>
        <v>EURO</v>
      </c>
      <c r="AM78" s="500"/>
      <c r="AN78" s="500"/>
      <c r="AO78" s="493"/>
      <c r="AP78" s="493"/>
      <c r="AQ78" s="493"/>
      <c r="AR78" s="493"/>
      <c r="AS78" s="493"/>
      <c r="AT78" s="493"/>
      <c r="AU78" s="493"/>
      <c r="AV78" s="493"/>
      <c r="AW78" s="493"/>
      <c r="AX78" s="493"/>
    </row>
    <row r="79" spans="1:50" s="501" customFormat="1" ht="9.75" customHeight="1" thickBot="1">
      <c r="A79" s="15"/>
      <c r="B79" s="264"/>
      <c r="C79" s="264"/>
      <c r="D79" s="264"/>
      <c r="E79" s="264"/>
      <c r="F79" s="264"/>
      <c r="G79" s="285"/>
      <c r="H79" s="285"/>
      <c r="I79" s="285"/>
      <c r="J79" s="286"/>
      <c r="K79" s="646"/>
      <c r="L79" s="649"/>
      <c r="M79" s="320"/>
      <c r="N79" s="515"/>
      <c r="O79" s="493"/>
      <c r="P79" s="519"/>
      <c r="Q79" s="519"/>
      <c r="R79" s="520"/>
      <c r="S79" s="521"/>
      <c r="T79" s="522"/>
      <c r="U79" s="522"/>
      <c r="V79" s="523"/>
      <c r="W79" s="514"/>
      <c r="X79" s="497"/>
      <c r="Y79" s="497"/>
      <c r="Z79" s="497"/>
      <c r="AA79" s="497"/>
      <c r="AB79" s="497"/>
      <c r="AC79" s="497"/>
      <c r="AD79" s="497"/>
      <c r="AE79" s="493"/>
      <c r="AF79" s="493"/>
      <c r="AG79" s="493"/>
      <c r="AH79" s="493"/>
      <c r="AI79" s="493"/>
      <c r="AJ79" s="490" t="str">
        <f>DIETY!A72</f>
        <v>Monako</v>
      </c>
      <c r="AK79" s="491" t="str">
        <f>DIETY!B72</f>
        <v>EURO</v>
      </c>
      <c r="AL79" s="492" t="str">
        <f t="shared" si="15"/>
        <v>EURO</v>
      </c>
      <c r="AM79" s="500"/>
      <c r="AN79" s="500"/>
      <c r="AO79" s="493"/>
      <c r="AP79" s="493"/>
      <c r="AQ79" s="493"/>
      <c r="AR79" s="493"/>
      <c r="AS79" s="493"/>
      <c r="AT79" s="493"/>
      <c r="AU79" s="493"/>
      <c r="AV79" s="493"/>
      <c r="AW79" s="493"/>
      <c r="AX79" s="493"/>
    </row>
    <row r="80" spans="1:50" s="501" customFormat="1" ht="18.75" customHeight="1">
      <c r="A80" s="15"/>
      <c r="B80" s="226"/>
      <c r="C80" s="227"/>
      <c r="D80" s="227"/>
      <c r="E80" s="227"/>
      <c r="F80" s="228"/>
      <c r="G80" s="556" t="s">
        <v>349</v>
      </c>
      <c r="H80" s="557"/>
      <c r="I80" s="557"/>
      <c r="J80" s="558"/>
      <c r="K80" s="578"/>
      <c r="L80" s="591">
        <f>IF(AG8=1,0,SUM(L69:L76))</f>
        <v>0</v>
      </c>
      <c r="M80" s="321"/>
      <c r="N80" s="500"/>
      <c r="O80" s="493"/>
      <c r="P80" s="519" t="s">
        <v>104</v>
      </c>
      <c r="Q80" s="506">
        <f>Q76-D69-W80</f>
        <v>1.00004629620526</v>
      </c>
      <c r="R80" s="524">
        <f>Q80</f>
        <v>1.00004629620526</v>
      </c>
      <c r="S80" s="525"/>
      <c r="T80" s="525"/>
      <c r="U80" s="525"/>
      <c r="V80" s="511"/>
      <c r="W80" s="509">
        <f>Y77-W77</f>
        <v>1.00003472229582</v>
      </c>
      <c r="X80" s="497"/>
      <c r="Y80" s="524">
        <f>W80</f>
        <v>1.00003472229582</v>
      </c>
      <c r="Z80" s="497"/>
      <c r="AA80" s="497"/>
      <c r="AB80" s="497"/>
      <c r="AC80" s="497"/>
      <c r="AD80" s="497"/>
      <c r="AE80" s="493"/>
      <c r="AF80" s="493"/>
      <c r="AG80" s="493"/>
      <c r="AH80" s="493"/>
      <c r="AI80" s="493"/>
      <c r="AJ80" s="490" t="str">
        <f>DIETY!A73</f>
        <v>Mongolia</v>
      </c>
      <c r="AK80" s="491" t="str">
        <f>DIETY!B73</f>
        <v>EURO</v>
      </c>
      <c r="AL80" s="492" t="str">
        <f t="shared" si="15"/>
        <v>EURO</v>
      </c>
      <c r="AM80" s="500"/>
      <c r="AN80" s="500"/>
      <c r="AO80" s="493"/>
      <c r="AP80" s="493"/>
      <c r="AQ80" s="493"/>
      <c r="AR80" s="493"/>
      <c r="AS80" s="493"/>
      <c r="AT80" s="493"/>
      <c r="AU80" s="493"/>
      <c r="AV80" s="493"/>
      <c r="AW80" s="493"/>
      <c r="AX80" s="493"/>
    </row>
    <row r="81" spans="1:50" s="501" customFormat="1" ht="18" customHeight="1" thickBot="1">
      <c r="A81" s="15"/>
      <c r="B81" s="553" t="s">
        <v>91</v>
      </c>
      <c r="C81" s="554"/>
      <c r="D81" s="554"/>
      <c r="E81" s="554"/>
      <c r="F81" s="555"/>
      <c r="G81" s="559"/>
      <c r="H81" s="560"/>
      <c r="I81" s="560"/>
      <c r="J81" s="561"/>
      <c r="K81" s="579"/>
      <c r="L81" s="592"/>
      <c r="M81" s="321"/>
      <c r="N81" s="500"/>
      <c r="O81" s="493"/>
      <c r="P81" s="507" t="s">
        <v>102</v>
      </c>
      <c r="Q81" s="507"/>
      <c r="R81" s="526"/>
      <c r="S81" s="525"/>
      <c r="T81" s="525"/>
      <c r="U81" s="525"/>
      <c r="V81" s="511"/>
      <c r="W81" s="507" t="s">
        <v>102</v>
      </c>
      <c r="X81" s="507"/>
      <c r="Y81" s="526"/>
      <c r="Z81" s="497"/>
      <c r="AA81" s="497"/>
      <c r="AB81" s="497"/>
      <c r="AC81" s="497"/>
      <c r="AD81" s="497"/>
      <c r="AE81" s="493"/>
      <c r="AF81" s="493"/>
      <c r="AG81" s="493"/>
      <c r="AH81" s="493"/>
      <c r="AI81" s="493"/>
      <c r="AJ81" s="490" t="str">
        <f>DIETY!A74</f>
        <v>Niderlandy</v>
      </c>
      <c r="AK81" s="491" t="str">
        <f>DIETY!B74</f>
        <v>EURO</v>
      </c>
      <c r="AL81" s="492" t="str">
        <f t="shared" si="15"/>
        <v>EURO</v>
      </c>
      <c r="AM81" s="500"/>
      <c r="AN81" s="500"/>
      <c r="AO81" s="493"/>
      <c r="AP81" s="493"/>
      <c r="AQ81" s="493"/>
      <c r="AR81" s="493"/>
      <c r="AS81" s="493"/>
      <c r="AT81" s="493"/>
      <c r="AU81" s="493"/>
      <c r="AV81" s="493"/>
      <c r="AW81" s="493"/>
      <c r="AX81" s="493"/>
    </row>
    <row r="82" spans="1:50" s="501" customFormat="1" ht="39" customHeight="1" thickBot="1">
      <c r="A82" s="15"/>
      <c r="B82" s="553"/>
      <c r="C82" s="554"/>
      <c r="D82" s="554"/>
      <c r="E82" s="554"/>
      <c r="F82" s="555"/>
      <c r="G82" s="551" t="s">
        <v>403</v>
      </c>
      <c r="H82" s="552"/>
      <c r="I82" s="552"/>
      <c r="J82" s="552"/>
      <c r="K82" s="413"/>
      <c r="L82" s="414">
        <f>L84+L85</f>
        <v>0</v>
      </c>
      <c r="M82" s="427"/>
      <c r="N82" s="500"/>
      <c r="O82" s="493"/>
      <c r="P82" s="519"/>
      <c r="Q82" s="497"/>
      <c r="R82" s="527"/>
      <c r="S82" s="525"/>
      <c r="T82" s="528"/>
      <c r="U82" s="528"/>
      <c r="V82" s="497"/>
      <c r="W82" s="519"/>
      <c r="X82" s="529">
        <f>IF(Y80&lt;=W83,0.3333333333333*Z67,0)</f>
        <v>0</v>
      </c>
      <c r="Y82" s="529">
        <f>IF(AND(Y91&gt;=1,AND(Y92&lt;=W83,Y92&gt;0)),0.3333333333333*Z67,0)</f>
        <v>16.67</v>
      </c>
      <c r="Z82" s="497"/>
      <c r="AA82" s="497"/>
      <c r="AB82" s="497"/>
      <c r="AC82" s="497"/>
      <c r="AD82" s="497"/>
      <c r="AE82" s="493"/>
      <c r="AF82" s="493"/>
      <c r="AG82" s="493"/>
      <c r="AH82" s="493"/>
      <c r="AI82" s="493"/>
      <c r="AJ82" s="490" t="str">
        <f>DIETY!A75</f>
        <v>Niemcy</v>
      </c>
      <c r="AK82" s="491" t="str">
        <f>DIETY!B75</f>
        <v>EURO</v>
      </c>
      <c r="AL82" s="492" t="str">
        <f t="shared" si="15"/>
        <v>EURO</v>
      </c>
      <c r="AM82" s="500"/>
      <c r="AN82" s="500"/>
      <c r="AO82" s="493"/>
      <c r="AP82" s="493"/>
      <c r="AQ82" s="493"/>
      <c r="AR82" s="493"/>
      <c r="AS82" s="493"/>
      <c r="AT82" s="493"/>
      <c r="AU82" s="493"/>
      <c r="AV82" s="493"/>
      <c r="AW82" s="493"/>
      <c r="AX82" s="493"/>
    </row>
    <row r="83" spans="1:50" s="501" customFormat="1" ht="18.75" customHeight="1">
      <c r="A83" s="15"/>
      <c r="B83" s="229"/>
      <c r="C83" s="230"/>
      <c r="D83" s="230"/>
      <c r="E83" s="230"/>
      <c r="F83" s="261"/>
      <c r="G83" s="595" t="s">
        <v>404</v>
      </c>
      <c r="H83" s="596"/>
      <c r="I83" s="596"/>
      <c r="J83" s="596"/>
      <c r="K83" s="415"/>
      <c r="L83" s="415"/>
      <c r="M83" s="323"/>
      <c r="N83" s="515"/>
      <c r="O83" s="493"/>
      <c r="P83" s="530">
        <v>0.33333333333333</v>
      </c>
      <c r="Q83" s="529">
        <f>IF(AND(R80&gt;=P83,R80&lt;=P84),0.5*S67,0)</f>
        <v>0</v>
      </c>
      <c r="R83" s="531"/>
      <c r="S83" s="532"/>
      <c r="T83" s="528"/>
      <c r="U83" s="528"/>
      <c r="V83" s="497"/>
      <c r="W83" s="530">
        <v>0.33333333333333</v>
      </c>
      <c r="X83" s="529">
        <f>IF(AND(Y80&gt;W83,Y80&lt;=W84),0.5*Z67,0)</f>
        <v>0</v>
      </c>
      <c r="Y83" s="529">
        <f>IF(AND(Y91&gt;=1,Y92&gt;W83,Y92&lt;=W84),0.5*Z67,0)</f>
        <v>0</v>
      </c>
      <c r="Z83" s="497"/>
      <c r="AA83" s="497"/>
      <c r="AB83" s="497"/>
      <c r="AC83" s="497"/>
      <c r="AD83" s="497"/>
      <c r="AE83" s="493"/>
      <c r="AF83" s="493"/>
      <c r="AG83" s="493"/>
      <c r="AH83" s="493"/>
      <c r="AI83" s="493"/>
      <c r="AJ83" s="490" t="str">
        <f>DIETY!A76</f>
        <v>Nigeria</v>
      </c>
      <c r="AK83" s="491" t="str">
        <f>DIETY!B76</f>
        <v>EURO</v>
      </c>
      <c r="AL83" s="492" t="str">
        <f t="shared" si="15"/>
        <v>EURO</v>
      </c>
      <c r="AM83" s="500"/>
      <c r="AN83" s="500"/>
      <c r="AO83" s="493"/>
      <c r="AP83" s="493"/>
      <c r="AQ83" s="493"/>
      <c r="AR83" s="493"/>
      <c r="AS83" s="493"/>
      <c r="AT83" s="493"/>
      <c r="AU83" s="493"/>
      <c r="AV83" s="493"/>
      <c r="AW83" s="493"/>
      <c r="AX83" s="493"/>
    </row>
    <row r="84" spans="1:50" s="501" customFormat="1" ht="18.75" customHeight="1">
      <c r="A84" s="15"/>
      <c r="B84" s="231"/>
      <c r="C84" s="232"/>
      <c r="D84" s="232"/>
      <c r="E84" s="232"/>
      <c r="F84" s="243"/>
      <c r="G84" s="570" t="s">
        <v>350</v>
      </c>
      <c r="H84" s="571"/>
      <c r="I84" s="571"/>
      <c r="J84" s="571"/>
      <c r="K84" s="416"/>
      <c r="L84" s="417">
        <f>IF(OR(AG8=1,L80=0,P11=Y5),0,Q96*20%*S67)</f>
        <v>0</v>
      </c>
      <c r="M84" s="323"/>
      <c r="N84" s="515"/>
      <c r="O84" s="493"/>
      <c r="P84" s="530">
        <v>0.5</v>
      </c>
      <c r="Q84" s="529">
        <f>IF(AND(R80&lt;P91,R80&gt;P84),1*S67,0)</f>
        <v>0</v>
      </c>
      <c r="R84" s="497"/>
      <c r="S84" s="525"/>
      <c r="T84" s="497"/>
      <c r="U84" s="497"/>
      <c r="V84" s="497"/>
      <c r="W84" s="530">
        <v>0.5</v>
      </c>
      <c r="X84" s="529">
        <f>IF(AND(Y80&lt;W91,Y80&gt;W84),1*Z67,0)</f>
        <v>0</v>
      </c>
      <c r="Y84" s="529">
        <f>IF(AND(Y91&gt;=1,Y92&lt;W91,Y92&gt;W84),1*Z67,0)</f>
        <v>0</v>
      </c>
      <c r="Z84" s="497"/>
      <c r="AA84" s="497"/>
      <c r="AB84" s="497"/>
      <c r="AC84" s="497"/>
      <c r="AD84" s="497"/>
      <c r="AE84" s="493"/>
      <c r="AF84" s="493"/>
      <c r="AG84" s="493"/>
      <c r="AH84" s="493"/>
      <c r="AI84" s="493"/>
      <c r="AJ84" s="490" t="str">
        <f>DIETY!A77</f>
        <v>Norwegia</v>
      </c>
      <c r="AK84" s="491" t="str">
        <f>DIETY!B77</f>
        <v>NOK</v>
      </c>
      <c r="AL84" s="492" t="str">
        <f t="shared" si="15"/>
        <v>EURO</v>
      </c>
      <c r="AM84" s="500"/>
      <c r="AN84" s="500"/>
      <c r="AO84" s="493"/>
      <c r="AP84" s="493"/>
      <c r="AQ84" s="493"/>
      <c r="AR84" s="493"/>
      <c r="AS84" s="493"/>
      <c r="AT84" s="493"/>
      <c r="AU84" s="493"/>
      <c r="AV84" s="493"/>
      <c r="AW84" s="493"/>
      <c r="AX84" s="493"/>
    </row>
    <row r="85" spans="1:50" s="501" customFormat="1" ht="18.75" customHeight="1">
      <c r="A85" s="15"/>
      <c r="B85" s="251"/>
      <c r="C85" s="232"/>
      <c r="D85" s="232"/>
      <c r="E85" s="250"/>
      <c r="F85" s="244"/>
      <c r="G85" s="567" t="s">
        <v>351</v>
      </c>
      <c r="H85" s="568"/>
      <c r="I85" s="568"/>
      <c r="J85" s="568"/>
      <c r="K85" s="418">
        <f>IF(OR(AG8=1,L80=0,Q11=Y5),0,X97*Z67*10%)</f>
        <v>0</v>
      </c>
      <c r="L85" s="419">
        <f>IF(K85&lt;&gt;0,K85*E78,0)</f>
        <v>0</v>
      </c>
      <c r="M85" s="322"/>
      <c r="N85" s="515"/>
      <c r="O85" s="493"/>
      <c r="P85" s="497"/>
      <c r="Q85" s="497"/>
      <c r="R85" s="502"/>
      <c r="S85" s="528"/>
      <c r="T85" s="497"/>
      <c r="U85" s="497"/>
      <c r="V85" s="497"/>
      <c r="W85" s="497"/>
      <c r="X85" s="497"/>
      <c r="Y85" s="502"/>
      <c r="Z85" s="497"/>
      <c r="AA85" s="497"/>
      <c r="AB85" s="497"/>
      <c r="AC85" s="497"/>
      <c r="AD85" s="497"/>
      <c r="AE85" s="493"/>
      <c r="AF85" s="493"/>
      <c r="AG85" s="493"/>
      <c r="AH85" s="493"/>
      <c r="AI85" s="493"/>
      <c r="AJ85" s="490" t="str">
        <f>DIETY!A78</f>
        <v>Nowa Zelandia</v>
      </c>
      <c r="AK85" s="491" t="str">
        <f>DIETY!B78</f>
        <v>USD</v>
      </c>
      <c r="AL85" s="492" t="str">
        <f t="shared" si="15"/>
        <v>EURO</v>
      </c>
      <c r="AM85" s="500"/>
      <c r="AN85" s="500"/>
      <c r="AO85" s="493"/>
      <c r="AP85" s="493"/>
      <c r="AQ85" s="493"/>
      <c r="AR85" s="493"/>
      <c r="AS85" s="493"/>
      <c r="AT85" s="493"/>
      <c r="AU85" s="493"/>
      <c r="AV85" s="493"/>
      <c r="AW85" s="493"/>
      <c r="AX85" s="493"/>
    </row>
    <row r="86" spans="1:50" s="501" customFormat="1" ht="18.75" customHeight="1">
      <c r="A86" s="15"/>
      <c r="B86" s="234" t="s">
        <v>10</v>
      </c>
      <c r="C86" s="232"/>
      <c r="D86" s="232"/>
      <c r="E86" s="233" t="s">
        <v>11</v>
      </c>
      <c r="F86" s="244"/>
      <c r="G86" s="605" t="s">
        <v>364</v>
      </c>
      <c r="H86" s="606"/>
      <c r="I86" s="606"/>
      <c r="J86" s="607"/>
      <c r="K86" s="652">
        <f>IF(AG8=1,0,Q12*Z67)</f>
        <v>0</v>
      </c>
      <c r="L86" s="654">
        <f>K86*E78</f>
        <v>0</v>
      </c>
      <c r="M86" s="323"/>
      <c r="N86" s="515"/>
      <c r="O86" s="493"/>
      <c r="P86" s="497" t="s">
        <v>101</v>
      </c>
      <c r="Q86" s="529">
        <f>SUM(Q83:Q84)</f>
        <v>0</v>
      </c>
      <c r="R86" s="512"/>
      <c r="S86" s="497"/>
      <c r="T86" s="497"/>
      <c r="U86" s="497"/>
      <c r="V86" s="497"/>
      <c r="W86" s="497" t="s">
        <v>101</v>
      </c>
      <c r="X86" s="529">
        <f>SUM(X82:X84)+SUM(Y82:Y84)</f>
        <v>16.67</v>
      </c>
      <c r="Y86" s="512"/>
      <c r="Z86" s="497"/>
      <c r="AA86" s="497"/>
      <c r="AB86" s="497"/>
      <c r="AC86" s="497"/>
      <c r="AD86" s="497"/>
      <c r="AE86" s="493"/>
      <c r="AF86" s="493"/>
      <c r="AG86" s="493"/>
      <c r="AH86" s="493"/>
      <c r="AI86" s="493"/>
      <c r="AJ86" s="490" t="str">
        <f>DIETY!A79</f>
        <v>Oman</v>
      </c>
      <c r="AK86" s="491" t="str">
        <f>DIETY!B79</f>
        <v>EURO</v>
      </c>
      <c r="AL86" s="492" t="str">
        <f t="shared" si="15"/>
        <v>EURO</v>
      </c>
      <c r="AM86" s="500"/>
      <c r="AN86" s="500"/>
      <c r="AO86" s="493"/>
      <c r="AP86" s="493"/>
      <c r="AQ86" s="493"/>
      <c r="AR86" s="493"/>
      <c r="AS86" s="493"/>
      <c r="AT86" s="493"/>
      <c r="AU86" s="493"/>
      <c r="AV86" s="493"/>
      <c r="AW86" s="493"/>
      <c r="AX86" s="493"/>
    </row>
    <row r="87" spans="1:50" s="501" customFormat="1" ht="18" customHeight="1" thickBot="1">
      <c r="A87" s="15"/>
      <c r="B87" s="235"/>
      <c r="C87" s="236"/>
      <c r="D87" s="236"/>
      <c r="E87" s="237"/>
      <c r="F87" s="238"/>
      <c r="G87" s="559"/>
      <c r="H87" s="560"/>
      <c r="I87" s="560"/>
      <c r="J87" s="561"/>
      <c r="K87" s="653"/>
      <c r="L87" s="655"/>
      <c r="M87" s="324"/>
      <c r="N87" s="515"/>
      <c r="O87" s="493"/>
      <c r="P87" s="497"/>
      <c r="Q87" s="497"/>
      <c r="R87" s="497"/>
      <c r="S87" s="528"/>
      <c r="T87" s="497"/>
      <c r="U87" s="497"/>
      <c r="V87" s="497"/>
      <c r="W87" s="497"/>
      <c r="X87" s="497"/>
      <c r="Y87" s="497"/>
      <c r="Z87" s="497"/>
      <c r="AA87" s="497"/>
      <c r="AB87" s="497"/>
      <c r="AC87" s="497"/>
      <c r="AD87" s="497"/>
      <c r="AE87" s="493"/>
      <c r="AF87" s="493"/>
      <c r="AG87" s="493"/>
      <c r="AH87" s="493"/>
      <c r="AI87" s="493"/>
      <c r="AJ87" s="490" t="str">
        <f>DIETY!A80</f>
        <v>Pakistan</v>
      </c>
      <c r="AK87" s="491" t="str">
        <f>DIETY!B80</f>
        <v>EURO</v>
      </c>
      <c r="AL87" s="492" t="str">
        <f t="shared" si="15"/>
        <v>EURO</v>
      </c>
      <c r="AM87" s="500"/>
      <c r="AN87" s="500"/>
      <c r="AO87" s="493"/>
      <c r="AP87" s="493"/>
      <c r="AQ87" s="493"/>
      <c r="AR87" s="493"/>
      <c r="AS87" s="493"/>
      <c r="AT87" s="493"/>
      <c r="AU87" s="493"/>
      <c r="AV87" s="493"/>
      <c r="AW87" s="493"/>
      <c r="AX87" s="493"/>
    </row>
    <row r="88" spans="1:50" s="501" customFormat="1" ht="18.75" customHeight="1">
      <c r="A88" s="15"/>
      <c r="B88" s="239"/>
      <c r="C88" s="240"/>
      <c r="D88" s="240"/>
      <c r="E88" s="240"/>
      <c r="F88" s="241"/>
      <c r="G88" s="556" t="s">
        <v>107</v>
      </c>
      <c r="H88" s="557"/>
      <c r="I88" s="557"/>
      <c r="J88" s="558"/>
      <c r="K88" s="666"/>
      <c r="L88" s="591">
        <f>L91+L92</f>
        <v>70.09</v>
      </c>
      <c r="M88" s="321"/>
      <c r="N88" s="515"/>
      <c r="O88" s="493"/>
      <c r="P88" s="497"/>
      <c r="Q88" s="497"/>
      <c r="R88" s="497"/>
      <c r="S88" s="514"/>
      <c r="T88" s="497"/>
      <c r="U88" s="497"/>
      <c r="V88" s="497"/>
      <c r="W88" s="497"/>
      <c r="X88" s="497"/>
      <c r="Y88" s="497"/>
      <c r="Z88" s="497"/>
      <c r="AA88" s="497"/>
      <c r="AB88" s="497"/>
      <c r="AC88" s="497"/>
      <c r="AD88" s="497"/>
      <c r="AE88" s="493"/>
      <c r="AF88" s="493"/>
      <c r="AG88" s="493"/>
      <c r="AH88" s="493"/>
      <c r="AI88" s="493"/>
      <c r="AJ88" s="490" t="str">
        <f>DIETY!A81</f>
        <v>palestyńska Władza Narodowa</v>
      </c>
      <c r="AK88" s="491" t="str">
        <f>DIETY!B81</f>
        <v>EURO</v>
      </c>
      <c r="AL88" s="492" t="str">
        <f t="shared" si="15"/>
        <v>EURO</v>
      </c>
      <c r="AM88" s="500"/>
      <c r="AN88" s="500"/>
      <c r="AO88" s="493"/>
      <c r="AP88" s="493"/>
      <c r="AQ88" s="493"/>
      <c r="AR88" s="493"/>
      <c r="AS88" s="493"/>
      <c r="AT88" s="493"/>
      <c r="AU88" s="493"/>
      <c r="AV88" s="493"/>
      <c r="AW88" s="493"/>
      <c r="AX88" s="493"/>
    </row>
    <row r="89" spans="1:50" s="501" customFormat="1" ht="19.5" customHeight="1" thickBot="1">
      <c r="A89" s="15"/>
      <c r="B89" s="242" t="s">
        <v>345</v>
      </c>
      <c r="C89" s="271"/>
      <c r="D89" s="276"/>
      <c r="E89" s="277"/>
      <c r="F89" s="243"/>
      <c r="G89" s="559"/>
      <c r="H89" s="560"/>
      <c r="I89" s="560"/>
      <c r="J89" s="561"/>
      <c r="K89" s="579"/>
      <c r="L89" s="592"/>
      <c r="M89" s="321"/>
      <c r="N89" s="515"/>
      <c r="O89" s="493"/>
      <c r="P89" s="507" t="s">
        <v>103</v>
      </c>
      <c r="Q89" s="507"/>
      <c r="R89" s="497"/>
      <c r="S89" s="497"/>
      <c r="T89" s="497"/>
      <c r="U89" s="497"/>
      <c r="V89" s="497"/>
      <c r="W89" s="507" t="s">
        <v>103</v>
      </c>
      <c r="X89" s="507"/>
      <c r="Y89" s="497"/>
      <c r="Z89" s="497"/>
      <c r="AA89" s="497"/>
      <c r="AB89" s="497"/>
      <c r="AC89" s="497"/>
      <c r="AD89" s="497"/>
      <c r="AE89" s="493"/>
      <c r="AF89" s="493"/>
      <c r="AG89" s="493"/>
      <c r="AH89" s="493"/>
      <c r="AI89" s="493"/>
      <c r="AJ89" s="490" t="str">
        <f>DIETY!A82</f>
        <v>Panama</v>
      </c>
      <c r="AK89" s="491" t="str">
        <f>DIETY!B82</f>
        <v>USD</v>
      </c>
      <c r="AL89" s="492" t="str">
        <f t="shared" si="15"/>
        <v>EURO</v>
      </c>
      <c r="AM89" s="500"/>
      <c r="AN89" s="500"/>
      <c r="AO89" s="493"/>
      <c r="AP89" s="493"/>
      <c r="AQ89" s="493"/>
      <c r="AR89" s="493"/>
      <c r="AS89" s="493"/>
      <c r="AT89" s="493"/>
      <c r="AU89" s="493"/>
      <c r="AV89" s="493"/>
      <c r="AW89" s="493"/>
      <c r="AX89" s="493"/>
    </row>
    <row r="90" spans="1:50" s="501" customFormat="1" ht="18" customHeight="1">
      <c r="A90" s="15"/>
      <c r="B90" s="242" t="s">
        <v>111</v>
      </c>
      <c r="C90" s="272" t="e">
        <f>#REF!-C89</f>
        <v>#REF!</v>
      </c>
      <c r="D90" s="276"/>
      <c r="E90" s="272"/>
      <c r="F90" s="243"/>
      <c r="G90" s="595" t="s">
        <v>352</v>
      </c>
      <c r="H90" s="596"/>
      <c r="I90" s="596"/>
      <c r="J90" s="597"/>
      <c r="K90" s="420"/>
      <c r="L90" s="421"/>
      <c r="M90" s="325"/>
      <c r="N90" s="515"/>
      <c r="O90" s="493"/>
      <c r="P90" s="497"/>
      <c r="Q90" s="497"/>
      <c r="R90" s="497"/>
      <c r="S90" s="497"/>
      <c r="T90" s="497"/>
      <c r="U90" s="497"/>
      <c r="V90" s="497"/>
      <c r="W90" s="497"/>
      <c r="X90" s="497"/>
      <c r="Y90" s="497"/>
      <c r="Z90" s="497"/>
      <c r="AA90" s="497"/>
      <c r="AB90" s="497"/>
      <c r="AC90" s="497"/>
      <c r="AD90" s="497"/>
      <c r="AE90" s="493"/>
      <c r="AF90" s="493"/>
      <c r="AG90" s="493"/>
      <c r="AH90" s="493"/>
      <c r="AI90" s="493"/>
      <c r="AJ90" s="490" t="str">
        <f>DIETY!A83</f>
        <v>Peru</v>
      </c>
      <c r="AK90" s="491" t="str">
        <f>DIETY!B83</f>
        <v>USD</v>
      </c>
      <c r="AL90" s="492" t="str">
        <f t="shared" si="15"/>
        <v>EURO</v>
      </c>
      <c r="AM90" s="500"/>
      <c r="AN90" s="500"/>
      <c r="AO90" s="493"/>
      <c r="AP90" s="493"/>
      <c r="AQ90" s="493"/>
      <c r="AR90" s="493"/>
      <c r="AS90" s="493"/>
      <c r="AT90" s="493"/>
      <c r="AU90" s="493"/>
      <c r="AV90" s="493"/>
      <c r="AW90" s="493"/>
      <c r="AX90" s="493"/>
    </row>
    <row r="91" spans="1:50" s="501" customFormat="1" ht="18.75" customHeight="1">
      <c r="A91" s="15"/>
      <c r="B91" s="231"/>
      <c r="C91" s="232"/>
      <c r="D91" s="232"/>
      <c r="E91" s="232"/>
      <c r="F91" s="243"/>
      <c r="G91" s="641" t="s">
        <v>347</v>
      </c>
      <c r="H91" s="642"/>
      <c r="I91" s="642"/>
      <c r="J91" s="643"/>
      <c r="K91" s="420"/>
      <c r="L91" s="421">
        <f>IF(P10=Y4,0,Q94-(Q94*V13))</f>
        <v>0</v>
      </c>
      <c r="M91" s="325"/>
      <c r="N91" s="515"/>
      <c r="O91" s="493"/>
      <c r="P91" s="530">
        <v>1</v>
      </c>
      <c r="Q91" s="529">
        <f>IF(AND(Q80&gt;=P91,Q80-R91&lt;P92),R91*S67,0)</f>
        <v>30</v>
      </c>
      <c r="R91" s="531">
        <f>ROUNDDOWN(Q80,0)</f>
        <v>1</v>
      </c>
      <c r="S91" s="497"/>
      <c r="T91" s="497"/>
      <c r="U91" s="497"/>
      <c r="V91" s="497"/>
      <c r="W91" s="530">
        <v>1</v>
      </c>
      <c r="X91" s="529">
        <f>IF(AND(W80&gt;=W91,W80-Y91&lt;W92),Y91*Z67,0)</f>
        <v>50</v>
      </c>
      <c r="Y91" s="531">
        <f>ROUNDDOWN(W80,0)</f>
        <v>1</v>
      </c>
      <c r="Z91" s="497"/>
      <c r="AA91" s="497"/>
      <c r="AB91" s="497"/>
      <c r="AC91" s="497"/>
      <c r="AD91" s="497"/>
      <c r="AE91" s="493"/>
      <c r="AF91" s="493"/>
      <c r="AG91" s="493"/>
      <c r="AH91" s="493"/>
      <c r="AI91" s="493"/>
      <c r="AJ91" s="490" t="str">
        <f>DIETY!A84</f>
        <v>Portugalia</v>
      </c>
      <c r="AK91" s="491" t="str">
        <f>DIETY!B84</f>
        <v>EURO</v>
      </c>
      <c r="AL91" s="492" t="str">
        <f t="shared" si="15"/>
        <v>EURO</v>
      </c>
      <c r="AM91" s="500"/>
      <c r="AN91" s="500"/>
      <c r="AO91" s="493"/>
      <c r="AP91" s="493"/>
      <c r="AQ91" s="493"/>
      <c r="AR91" s="493"/>
      <c r="AS91" s="493"/>
      <c r="AT91" s="493"/>
      <c r="AU91" s="493"/>
      <c r="AV91" s="493"/>
      <c r="AW91" s="493"/>
      <c r="AX91" s="493"/>
    </row>
    <row r="92" spans="1:50" s="501" customFormat="1" ht="18.75" customHeight="1" thickBot="1">
      <c r="A92" s="15"/>
      <c r="B92" s="242" t="s">
        <v>346</v>
      </c>
      <c r="C92" s="271"/>
      <c r="D92" s="276"/>
      <c r="E92" s="277"/>
      <c r="F92" s="243"/>
      <c r="G92" s="608" t="s">
        <v>348</v>
      </c>
      <c r="H92" s="609"/>
      <c r="I92" s="609"/>
      <c r="J92" s="610"/>
      <c r="K92" s="422">
        <f>IF(Q10=Y4,X94*0.25,IF(Q10=Y4,0,X94)-IF(Q10&lt;&gt;Y4,X94*W13,0))</f>
        <v>16.67</v>
      </c>
      <c r="L92" s="423">
        <f>IF(K92&lt;&gt;0,K92*E78,0)</f>
        <v>70.09</v>
      </c>
      <c r="M92" s="325"/>
      <c r="N92" s="515"/>
      <c r="O92" s="493"/>
      <c r="P92" s="530">
        <v>1.33333333333333</v>
      </c>
      <c r="Q92" s="529">
        <f>IF(AND(R92&gt;0,R92&lt;=P83),1/2*S67,0)</f>
        <v>15</v>
      </c>
      <c r="R92" s="533">
        <f>IF(R91&lt;&gt;0,Q80-R91,0)</f>
        <v>4.629620526E-05</v>
      </c>
      <c r="S92" s="497"/>
      <c r="T92" s="497"/>
      <c r="U92" s="497"/>
      <c r="V92" s="497"/>
      <c r="W92" s="530">
        <v>1.33333333333333</v>
      </c>
      <c r="X92" s="529"/>
      <c r="Y92" s="533">
        <f>IF(Y91&lt;&gt;0,Y80-Y91,0)</f>
        <v>3.472229582E-05</v>
      </c>
      <c r="Z92" s="497"/>
      <c r="AA92" s="497"/>
      <c r="AB92" s="497"/>
      <c r="AC92" s="497"/>
      <c r="AD92" s="497"/>
      <c r="AE92" s="493"/>
      <c r="AF92" s="493"/>
      <c r="AG92" s="493"/>
      <c r="AH92" s="493"/>
      <c r="AI92" s="493"/>
      <c r="AJ92" s="490" t="str">
        <f>DIETY!A85</f>
        <v>Republika Południowej Afryki</v>
      </c>
      <c r="AK92" s="491" t="str">
        <f>DIETY!B85</f>
        <v>USD</v>
      </c>
      <c r="AL92" s="492" t="str">
        <f t="shared" si="15"/>
        <v>EURO</v>
      </c>
      <c r="AM92" s="500"/>
      <c r="AN92" s="500"/>
      <c r="AO92" s="493"/>
      <c r="AP92" s="493"/>
      <c r="AQ92" s="493"/>
      <c r="AR92" s="493"/>
      <c r="AS92" s="493"/>
      <c r="AT92" s="493"/>
      <c r="AU92" s="493"/>
      <c r="AV92" s="493"/>
      <c r="AW92" s="493"/>
      <c r="AX92" s="493"/>
    </row>
    <row r="93" spans="1:50" s="501" customFormat="1" ht="18" customHeight="1">
      <c r="A93" s="15"/>
      <c r="B93" s="242" t="s">
        <v>112</v>
      </c>
      <c r="C93" s="272">
        <f>L106-C92</f>
        <v>70.09</v>
      </c>
      <c r="D93" s="276"/>
      <c r="E93" s="272"/>
      <c r="F93" s="243"/>
      <c r="G93" s="556" t="s">
        <v>353</v>
      </c>
      <c r="H93" s="557"/>
      <c r="I93" s="557"/>
      <c r="J93" s="558"/>
      <c r="K93" s="667"/>
      <c r="L93" s="591">
        <f>L96+L97+L99+L100</f>
        <v>0</v>
      </c>
      <c r="M93" s="321"/>
      <c r="N93" s="515"/>
      <c r="O93" s="493"/>
      <c r="P93" s="497"/>
      <c r="Q93" s="534">
        <f>IF(AND(R92&gt;0,R92&gt;P83),S67,0)</f>
        <v>0</v>
      </c>
      <c r="R93" s="497"/>
      <c r="S93" s="497"/>
      <c r="T93" s="497"/>
      <c r="U93" s="497"/>
      <c r="V93" s="497"/>
      <c r="W93" s="497"/>
      <c r="X93" s="534"/>
      <c r="Y93" s="497"/>
      <c r="Z93" s="497"/>
      <c r="AA93" s="497"/>
      <c r="AB93" s="497"/>
      <c r="AC93" s="497"/>
      <c r="AD93" s="497"/>
      <c r="AE93" s="493"/>
      <c r="AF93" s="493"/>
      <c r="AG93" s="493"/>
      <c r="AH93" s="493"/>
      <c r="AI93" s="493"/>
      <c r="AJ93" s="490" t="str">
        <f>DIETY!A86</f>
        <v>Rosja</v>
      </c>
      <c r="AK93" s="491" t="str">
        <f>DIETY!B86</f>
        <v>EURO</v>
      </c>
      <c r="AL93" s="492" t="str">
        <f t="shared" si="15"/>
        <v>EURO</v>
      </c>
      <c r="AM93" s="500"/>
      <c r="AN93" s="500"/>
      <c r="AO93" s="493"/>
      <c r="AP93" s="493"/>
      <c r="AQ93" s="493"/>
      <c r="AR93" s="493"/>
      <c r="AS93" s="493"/>
      <c r="AT93" s="493"/>
      <c r="AU93" s="493"/>
      <c r="AV93" s="493"/>
      <c r="AW93" s="493"/>
      <c r="AX93" s="493"/>
    </row>
    <row r="94" spans="1:50" s="501" customFormat="1" ht="18.75" customHeight="1" thickBot="1">
      <c r="A94" s="15"/>
      <c r="B94" s="308"/>
      <c r="C94" s="266">
        <f>'STRONA 2'!B26</f>
      </c>
      <c r="D94" s="266"/>
      <c r="E94" s="266"/>
      <c r="F94" s="243"/>
      <c r="G94" s="559"/>
      <c r="H94" s="560"/>
      <c r="I94" s="560"/>
      <c r="J94" s="561"/>
      <c r="K94" s="668"/>
      <c r="L94" s="592"/>
      <c r="M94" s="321"/>
      <c r="N94" s="515"/>
      <c r="O94" s="493"/>
      <c r="P94" s="497" t="s">
        <v>107</v>
      </c>
      <c r="Q94" s="529">
        <f>SUM(Q91:Q93)+Q86</f>
        <v>45</v>
      </c>
      <c r="R94" s="497">
        <f>Q94/S67</f>
        <v>1.5</v>
      </c>
      <c r="S94" s="497"/>
      <c r="T94" s="497"/>
      <c r="U94" s="497"/>
      <c r="V94" s="497"/>
      <c r="W94" s="497" t="s">
        <v>107</v>
      </c>
      <c r="X94" s="529">
        <f>IF(W80=0,0,SUM(X91:X93)+X86)</f>
        <v>66.67</v>
      </c>
      <c r="Y94" s="497">
        <f>X94/Z67</f>
        <v>1.3334</v>
      </c>
      <c r="Z94" s="497"/>
      <c r="AA94" s="497"/>
      <c r="AB94" s="497"/>
      <c r="AC94" s="497"/>
      <c r="AD94" s="497"/>
      <c r="AE94" s="493"/>
      <c r="AF94" s="493"/>
      <c r="AG94" s="493"/>
      <c r="AH94" s="493"/>
      <c r="AI94" s="493"/>
      <c r="AJ94" s="490" t="str">
        <f>DIETY!A87</f>
        <v>Rumunia</v>
      </c>
      <c r="AK94" s="491" t="str">
        <f>DIETY!B87</f>
        <v>EURO</v>
      </c>
      <c r="AL94" s="492" t="str">
        <f t="shared" si="15"/>
        <v>EURO</v>
      </c>
      <c r="AM94" s="500"/>
      <c r="AN94" s="500"/>
      <c r="AO94" s="493"/>
      <c r="AP94" s="493"/>
      <c r="AQ94" s="493"/>
      <c r="AR94" s="493"/>
      <c r="AS94" s="493"/>
      <c r="AT94" s="493"/>
      <c r="AU94" s="493"/>
      <c r="AV94" s="493"/>
      <c r="AW94" s="493"/>
      <c r="AX94" s="493"/>
    </row>
    <row r="95" spans="1:50" s="501" customFormat="1" ht="19.5" customHeight="1">
      <c r="A95" s="15"/>
      <c r="B95" s="242" t="s">
        <v>113</v>
      </c>
      <c r="C95" s="273"/>
      <c r="D95" s="550">
        <f>'Excelblog.pl - Kwoty słownie'!B51</f>
      </c>
      <c r="E95" s="550"/>
      <c r="F95" s="243"/>
      <c r="G95" s="580" t="s">
        <v>354</v>
      </c>
      <c r="H95" s="581"/>
      <c r="I95" s="581"/>
      <c r="J95" s="582"/>
      <c r="K95" s="424"/>
      <c r="L95" s="425"/>
      <c r="M95" s="322"/>
      <c r="N95" s="515"/>
      <c r="O95" s="493"/>
      <c r="P95" s="497"/>
      <c r="Q95" s="497"/>
      <c r="R95" s="497"/>
      <c r="S95" s="497"/>
      <c r="T95" s="497"/>
      <c r="U95" s="497"/>
      <c r="V95" s="497"/>
      <c r="W95" s="497"/>
      <c r="X95" s="497"/>
      <c r="Y95" s="497"/>
      <c r="Z95" s="497"/>
      <c r="AA95" s="497"/>
      <c r="AB95" s="497"/>
      <c r="AC95" s="497"/>
      <c r="AD95" s="497"/>
      <c r="AE95" s="493"/>
      <c r="AF95" s="493"/>
      <c r="AG95" s="493"/>
      <c r="AH95" s="493"/>
      <c r="AI95" s="493"/>
      <c r="AJ95" s="490" t="str">
        <f>DIETY!A88</f>
        <v>San Marino</v>
      </c>
      <c r="AK95" s="491" t="str">
        <f>DIETY!B88</f>
        <v>EURO</v>
      </c>
      <c r="AL95" s="492" t="str">
        <f t="shared" si="15"/>
        <v>EURO</v>
      </c>
      <c r="AM95" s="500"/>
      <c r="AN95" s="500"/>
      <c r="AO95" s="493"/>
      <c r="AP95" s="493"/>
      <c r="AQ95" s="493"/>
      <c r="AR95" s="493"/>
      <c r="AS95" s="493"/>
      <c r="AT95" s="493"/>
      <c r="AU95" s="493"/>
      <c r="AV95" s="493"/>
      <c r="AW95" s="493"/>
      <c r="AX95" s="493"/>
    </row>
    <row r="96" spans="1:50" s="501" customFormat="1" ht="18.75" customHeight="1">
      <c r="A96" s="15"/>
      <c r="B96" s="308"/>
      <c r="C96" s="276"/>
      <c r="D96" s="276"/>
      <c r="E96" s="276"/>
      <c r="F96" s="244"/>
      <c r="G96" s="570" t="s">
        <v>350</v>
      </c>
      <c r="H96" s="571"/>
      <c r="I96" s="571"/>
      <c r="J96" s="601"/>
      <c r="K96" s="426"/>
      <c r="L96" s="428">
        <v>0</v>
      </c>
      <c r="M96" s="323"/>
      <c r="N96" s="515"/>
      <c r="O96" s="493"/>
      <c r="P96" s="516">
        <v>1</v>
      </c>
      <c r="Q96" s="535">
        <f>ROUNDUP(Q80/P96,0)</f>
        <v>2</v>
      </c>
      <c r="R96" s="497" t="s">
        <v>106</v>
      </c>
      <c r="S96" s="497"/>
      <c r="T96" s="497"/>
      <c r="U96" s="497"/>
      <c r="V96" s="497"/>
      <c r="W96" s="516">
        <v>1</v>
      </c>
      <c r="X96" s="535">
        <f>ROUNDUP(X80/W96,0)</f>
        <v>0</v>
      </c>
      <c r="Y96" s="497" t="s">
        <v>106</v>
      </c>
      <c r="Z96" s="497"/>
      <c r="AA96" s="497"/>
      <c r="AB96" s="497"/>
      <c r="AC96" s="497"/>
      <c r="AD96" s="497"/>
      <c r="AE96" s="493"/>
      <c r="AF96" s="493"/>
      <c r="AG96" s="493"/>
      <c r="AH96" s="493"/>
      <c r="AI96" s="493"/>
      <c r="AJ96" s="490" t="str">
        <f>DIETY!A89</f>
        <v>Senegal</v>
      </c>
      <c r="AK96" s="491" t="str">
        <f>DIETY!B89</f>
        <v>EURO</v>
      </c>
      <c r="AL96" s="492" t="str">
        <f t="shared" si="15"/>
        <v>EURO</v>
      </c>
      <c r="AM96" s="500"/>
      <c r="AN96" s="500"/>
      <c r="AO96" s="493"/>
      <c r="AP96" s="493"/>
      <c r="AQ96" s="493"/>
      <c r="AR96" s="493"/>
      <c r="AS96" s="493"/>
      <c r="AT96" s="493"/>
      <c r="AU96" s="493"/>
      <c r="AV96" s="493"/>
      <c r="AW96" s="493"/>
      <c r="AX96" s="493"/>
    </row>
    <row r="97" spans="1:50" s="501" customFormat="1" ht="18" customHeight="1">
      <c r="A97" s="15"/>
      <c r="B97" s="251">
        <v>41023</v>
      </c>
      <c r="C97" s="232"/>
      <c r="D97" s="232"/>
      <c r="E97" s="250"/>
      <c r="F97" s="244"/>
      <c r="G97" s="567" t="s">
        <v>351</v>
      </c>
      <c r="H97" s="568"/>
      <c r="I97" s="568"/>
      <c r="J97" s="569"/>
      <c r="K97" s="430"/>
      <c r="L97" s="429">
        <f>K97*E78</f>
        <v>0</v>
      </c>
      <c r="M97" s="323"/>
      <c r="N97" s="515"/>
      <c r="O97" s="493"/>
      <c r="P97" s="497"/>
      <c r="Q97" s="497"/>
      <c r="R97" s="497"/>
      <c r="S97" s="497"/>
      <c r="T97" s="497"/>
      <c r="U97" s="497"/>
      <c r="V97" s="497"/>
      <c r="W97" s="516">
        <f>Y77-W77</f>
        <v>1.00003472229582</v>
      </c>
      <c r="X97" s="535">
        <f>ROUNDUP(W97/W96,0)</f>
        <v>2</v>
      </c>
      <c r="Y97" s="497" t="s">
        <v>409</v>
      </c>
      <c r="Z97" s="497"/>
      <c r="AA97" s="497"/>
      <c r="AB97" s="497"/>
      <c r="AC97" s="497"/>
      <c r="AD97" s="497"/>
      <c r="AE97" s="493"/>
      <c r="AF97" s="493"/>
      <c r="AG97" s="493"/>
      <c r="AH97" s="493"/>
      <c r="AI97" s="493"/>
      <c r="AJ97" s="490" t="str">
        <f>DIETY!A90</f>
        <v>Serbia i Czarnogóra</v>
      </c>
      <c r="AK97" s="491" t="str">
        <f>DIETY!B90</f>
        <v>EURO</v>
      </c>
      <c r="AL97" s="492" t="str">
        <f t="shared" si="15"/>
        <v>EURO</v>
      </c>
      <c r="AM97" s="500"/>
      <c r="AN97" s="500"/>
      <c r="AO97" s="493"/>
      <c r="AP97" s="493"/>
      <c r="AQ97" s="493"/>
      <c r="AR97" s="493"/>
      <c r="AS97" s="493"/>
      <c r="AT97" s="493"/>
      <c r="AU97" s="493"/>
      <c r="AV97" s="493"/>
      <c r="AW97" s="493"/>
      <c r="AX97" s="493"/>
    </row>
    <row r="98" spans="1:50" s="501" customFormat="1" ht="18" customHeight="1" thickBot="1">
      <c r="A98" s="15"/>
      <c r="B98" s="234" t="s">
        <v>10</v>
      </c>
      <c r="C98" s="232"/>
      <c r="D98" s="232"/>
      <c r="E98" s="233" t="s">
        <v>11</v>
      </c>
      <c r="F98" s="238"/>
      <c r="G98" s="564" t="s">
        <v>355</v>
      </c>
      <c r="H98" s="565"/>
      <c r="I98" s="565"/>
      <c r="J98" s="566"/>
      <c r="K98" s="424"/>
      <c r="L98" s="425"/>
      <c r="M98" s="322"/>
      <c r="N98" s="515"/>
      <c r="O98" s="493"/>
      <c r="P98" s="497"/>
      <c r="Q98" s="497"/>
      <c r="R98" s="497"/>
      <c r="S98" s="497"/>
      <c r="T98" s="497"/>
      <c r="U98" s="497"/>
      <c r="V98" s="497"/>
      <c r="W98" s="497"/>
      <c r="X98" s="535">
        <f>X97*AA67</f>
        <v>320</v>
      </c>
      <c r="Y98" s="497"/>
      <c r="Z98" s="497"/>
      <c r="AA98" s="497"/>
      <c r="AB98" s="497"/>
      <c r="AC98" s="497"/>
      <c r="AD98" s="497"/>
      <c r="AE98" s="493"/>
      <c r="AF98" s="493"/>
      <c r="AG98" s="493"/>
      <c r="AH98" s="493"/>
      <c r="AI98" s="493"/>
      <c r="AJ98" s="490" t="str">
        <f>DIETY!A91</f>
        <v>Singapur</v>
      </c>
      <c r="AK98" s="491" t="str">
        <f>DIETY!B91</f>
        <v>USD</v>
      </c>
      <c r="AL98" s="492" t="str">
        <f t="shared" si="15"/>
        <v>EURO</v>
      </c>
      <c r="AM98" s="500"/>
      <c r="AN98" s="500"/>
      <c r="AO98" s="493"/>
      <c r="AP98" s="493"/>
      <c r="AQ98" s="493"/>
      <c r="AR98" s="493"/>
      <c r="AS98" s="493"/>
      <c r="AT98" s="493"/>
      <c r="AU98" s="493"/>
      <c r="AV98" s="493"/>
      <c r="AW98" s="493"/>
      <c r="AX98" s="493"/>
    </row>
    <row r="99" spans="1:50" s="501" customFormat="1" ht="18" customHeight="1">
      <c r="A99" s="15"/>
      <c r="B99" s="226"/>
      <c r="C99" s="245"/>
      <c r="D99" s="240"/>
      <c r="E99" s="240"/>
      <c r="F99" s="241"/>
      <c r="G99" s="570" t="s">
        <v>350</v>
      </c>
      <c r="H99" s="571"/>
      <c r="I99" s="571"/>
      <c r="J99" s="601"/>
      <c r="K99" s="432"/>
      <c r="L99" s="433">
        <f>IF(OR(AG8=1,P13=Y4),0,P14*1.5*S67)</f>
        <v>0</v>
      </c>
      <c r="M99" s="323"/>
      <c r="N99" s="515"/>
      <c r="O99" s="493"/>
      <c r="P99" s="497"/>
      <c r="Q99" s="497"/>
      <c r="R99" s="497"/>
      <c r="S99" s="497"/>
      <c r="T99" s="497"/>
      <c r="U99" s="497"/>
      <c r="V99" s="497"/>
      <c r="W99" s="497"/>
      <c r="X99" s="497"/>
      <c r="Y99" s="497"/>
      <c r="Z99" s="497"/>
      <c r="AA99" s="497"/>
      <c r="AB99" s="497"/>
      <c r="AC99" s="497"/>
      <c r="AD99" s="497"/>
      <c r="AE99" s="493"/>
      <c r="AF99" s="493"/>
      <c r="AG99" s="493"/>
      <c r="AH99" s="493"/>
      <c r="AI99" s="493"/>
      <c r="AJ99" s="490" t="str">
        <f>DIETY!A92</f>
        <v>Słowacja</v>
      </c>
      <c r="AK99" s="491" t="str">
        <f>DIETY!B92</f>
        <v>EURO</v>
      </c>
      <c r="AL99" s="492" t="str">
        <f t="shared" si="15"/>
        <v>EURO</v>
      </c>
      <c r="AM99" s="500"/>
      <c r="AN99" s="500"/>
      <c r="AO99" s="493"/>
      <c r="AP99" s="493"/>
      <c r="AQ99" s="493"/>
      <c r="AR99" s="493"/>
      <c r="AS99" s="493"/>
      <c r="AT99" s="493"/>
      <c r="AU99" s="493"/>
      <c r="AV99" s="493"/>
      <c r="AW99" s="493"/>
      <c r="AX99" s="493"/>
    </row>
    <row r="100" spans="1:50" s="501" customFormat="1" ht="18.75" customHeight="1" thickBot="1">
      <c r="A100" s="15"/>
      <c r="B100" s="586"/>
      <c r="C100" s="587"/>
      <c r="D100" s="587"/>
      <c r="E100" s="246"/>
      <c r="F100" s="247"/>
      <c r="G100" s="588" t="s">
        <v>351</v>
      </c>
      <c r="H100" s="589"/>
      <c r="I100" s="589"/>
      <c r="J100" s="590"/>
      <c r="K100" s="434">
        <f>IF(OR(AG8=1,Q13=Y4),0,Q14*AA67)</f>
        <v>0</v>
      </c>
      <c r="L100" s="435">
        <f>K100*E78</f>
        <v>0</v>
      </c>
      <c r="M100" s="324"/>
      <c r="N100" s="515"/>
      <c r="O100" s="493"/>
      <c r="P100" s="497"/>
      <c r="Q100" s="497"/>
      <c r="R100" s="497"/>
      <c r="S100" s="497"/>
      <c r="T100" s="497"/>
      <c r="U100" s="497"/>
      <c r="V100" s="497"/>
      <c r="W100" s="497"/>
      <c r="X100" s="497"/>
      <c r="Y100" s="497"/>
      <c r="Z100" s="497"/>
      <c r="AA100" s="497"/>
      <c r="AB100" s="497"/>
      <c r="AC100" s="497"/>
      <c r="AD100" s="497"/>
      <c r="AE100" s="493"/>
      <c r="AF100" s="493"/>
      <c r="AG100" s="493"/>
      <c r="AH100" s="493"/>
      <c r="AI100" s="493"/>
      <c r="AJ100" s="490" t="str">
        <f>DIETY!A93</f>
        <v>Słowenia</v>
      </c>
      <c r="AK100" s="491" t="str">
        <f>DIETY!B93</f>
        <v>EURO</v>
      </c>
      <c r="AL100" s="492" t="str">
        <f t="shared" si="15"/>
        <v>EURO</v>
      </c>
      <c r="AM100" s="500"/>
      <c r="AN100" s="500"/>
      <c r="AO100" s="493"/>
      <c r="AP100" s="493"/>
      <c r="AQ100" s="493"/>
      <c r="AR100" s="493"/>
      <c r="AS100" s="493"/>
      <c r="AT100" s="493"/>
      <c r="AU100" s="493"/>
      <c r="AV100" s="493"/>
      <c r="AW100" s="493"/>
      <c r="AX100" s="493"/>
    </row>
    <row r="101" spans="1:50" s="501" customFormat="1" ht="64.5">
      <c r="A101" s="15"/>
      <c r="B101" s="274"/>
      <c r="C101" s="275"/>
      <c r="D101" s="275"/>
      <c r="E101" s="246"/>
      <c r="F101" s="247"/>
      <c r="G101" s="556" t="s">
        <v>356</v>
      </c>
      <c r="H101" s="557"/>
      <c r="I101" s="557"/>
      <c r="J101" s="558"/>
      <c r="K101" s="666">
        <f>K104+K105</f>
        <v>0</v>
      </c>
      <c r="L101" s="591">
        <f>L104+L105</f>
        <v>0</v>
      </c>
      <c r="M101" s="321"/>
      <c r="N101" s="515"/>
      <c r="O101" s="493"/>
      <c r="P101" s="497"/>
      <c r="Q101" s="497"/>
      <c r="R101" s="497"/>
      <c r="S101" s="497"/>
      <c r="T101" s="497"/>
      <c r="U101" s="497"/>
      <c r="V101" s="497"/>
      <c r="W101" s="497"/>
      <c r="X101" s="497"/>
      <c r="Y101" s="497"/>
      <c r="Z101" s="497"/>
      <c r="AA101" s="497"/>
      <c r="AB101" s="497"/>
      <c r="AC101" s="497"/>
      <c r="AD101" s="497"/>
      <c r="AE101" s="493"/>
      <c r="AF101" s="493"/>
      <c r="AG101" s="493"/>
      <c r="AH101" s="493"/>
      <c r="AI101" s="493"/>
      <c r="AJ101" s="490" t="str">
        <f>DIETY!A94</f>
        <v>Stany Zjednoczone Ameryki (USA) - Nowy Jork</v>
      </c>
      <c r="AK101" s="491" t="str">
        <f>DIETY!B94</f>
        <v>USD</v>
      </c>
      <c r="AL101" s="492" t="str">
        <f t="shared" si="15"/>
        <v>EURO</v>
      </c>
      <c r="AM101" s="500"/>
      <c r="AN101" s="500"/>
      <c r="AO101" s="493"/>
      <c r="AP101" s="493"/>
      <c r="AQ101" s="493"/>
      <c r="AR101" s="493"/>
      <c r="AS101" s="493"/>
      <c r="AT101" s="493"/>
      <c r="AU101" s="493"/>
      <c r="AV101" s="493"/>
      <c r="AW101" s="493"/>
      <c r="AX101" s="493"/>
    </row>
    <row r="102" spans="1:50" s="538" customFormat="1" ht="116.25" thickBot="1">
      <c r="A102" s="15"/>
      <c r="B102" s="586" t="s">
        <v>92</v>
      </c>
      <c r="C102" s="587"/>
      <c r="D102" s="587"/>
      <c r="E102" s="407">
        <v>40952</v>
      </c>
      <c r="F102" s="247"/>
      <c r="G102" s="559"/>
      <c r="H102" s="560"/>
      <c r="I102" s="560"/>
      <c r="J102" s="561"/>
      <c r="K102" s="653"/>
      <c r="L102" s="592"/>
      <c r="M102" s="321"/>
      <c r="N102" s="515"/>
      <c r="O102" s="500"/>
      <c r="P102" s="497"/>
      <c r="Q102" s="497"/>
      <c r="R102" s="497"/>
      <c r="S102" s="497"/>
      <c r="T102" s="536"/>
      <c r="U102" s="536"/>
      <c r="V102" s="536"/>
      <c r="W102" s="536"/>
      <c r="X102" s="536"/>
      <c r="Y102" s="536"/>
      <c r="Z102" s="536"/>
      <c r="AA102" s="536"/>
      <c r="AB102" s="536"/>
      <c r="AC102" s="536"/>
      <c r="AD102" s="536"/>
      <c r="AE102" s="537"/>
      <c r="AF102" s="537"/>
      <c r="AG102" s="537"/>
      <c r="AH102" s="537"/>
      <c r="AI102" s="537"/>
      <c r="AJ102" s="490" t="str">
        <f>DIETY!A95</f>
        <v>Stany Zjednoczone Ameryki (USA) - poza Nowym Jorkiem i Waszyngtonem</v>
      </c>
      <c r="AK102" s="491" t="str">
        <f>DIETY!B95</f>
        <v>USD</v>
      </c>
      <c r="AL102" s="492" t="str">
        <f t="shared" si="15"/>
        <v>EURO</v>
      </c>
      <c r="AM102" s="500"/>
      <c r="AN102" s="500"/>
      <c r="AO102" s="500"/>
      <c r="AP102" s="500"/>
      <c r="AQ102" s="500"/>
      <c r="AR102" s="500"/>
      <c r="AS102" s="500"/>
      <c r="AT102" s="500"/>
      <c r="AU102" s="500"/>
      <c r="AV102" s="500"/>
      <c r="AW102" s="500"/>
      <c r="AX102" s="500"/>
    </row>
    <row r="103" spans="1:50" s="538" customFormat="1" ht="77.25">
      <c r="A103" s="15"/>
      <c r="B103" s="242"/>
      <c r="C103" s="246"/>
      <c r="D103" s="246"/>
      <c r="E103" s="246"/>
      <c r="F103" s="247"/>
      <c r="G103" s="595" t="s">
        <v>352</v>
      </c>
      <c r="H103" s="596"/>
      <c r="I103" s="596"/>
      <c r="J103" s="597"/>
      <c r="K103" s="420"/>
      <c r="L103" s="421"/>
      <c r="M103" s="325"/>
      <c r="N103" s="515"/>
      <c r="O103" s="500"/>
      <c r="P103" s="497"/>
      <c r="Q103" s="497"/>
      <c r="R103" s="497"/>
      <c r="S103" s="497"/>
      <c r="T103" s="536"/>
      <c r="U103" s="536"/>
      <c r="V103" s="536"/>
      <c r="W103" s="536"/>
      <c r="X103" s="536"/>
      <c r="Y103" s="536"/>
      <c r="Z103" s="536"/>
      <c r="AA103" s="536"/>
      <c r="AB103" s="536"/>
      <c r="AC103" s="536"/>
      <c r="AD103" s="536"/>
      <c r="AE103" s="537"/>
      <c r="AF103" s="537"/>
      <c r="AG103" s="537"/>
      <c r="AH103" s="537"/>
      <c r="AI103" s="537"/>
      <c r="AJ103" s="490" t="str">
        <f>DIETY!A96</f>
        <v>Stany Zjednoczone Ameryki (USA) - Waszyngton</v>
      </c>
      <c r="AK103" s="491" t="str">
        <f>DIETY!B96</f>
        <v>USD</v>
      </c>
      <c r="AL103" s="492" t="str">
        <f t="shared" si="15"/>
        <v>EURO</v>
      </c>
      <c r="AM103" s="500"/>
      <c r="AN103" s="500"/>
      <c r="AO103" s="500"/>
      <c r="AP103" s="500"/>
      <c r="AQ103" s="500"/>
      <c r="AR103" s="500"/>
      <c r="AS103" s="500"/>
      <c r="AT103" s="500"/>
      <c r="AU103" s="500"/>
      <c r="AV103" s="500"/>
      <c r="AW103" s="500"/>
      <c r="AX103" s="500"/>
    </row>
    <row r="104" spans="1:50" s="538" customFormat="1" ht="18.75" thickBot="1">
      <c r="A104" s="15"/>
      <c r="B104" s="410"/>
      <c r="C104" s="11"/>
      <c r="D104" s="11"/>
      <c r="E104" s="11"/>
      <c r="F104" s="16"/>
      <c r="G104" s="570" t="s">
        <v>350</v>
      </c>
      <c r="H104" s="571"/>
      <c r="I104" s="571"/>
      <c r="J104" s="601"/>
      <c r="K104" s="420"/>
      <c r="L104" s="428">
        <v>0</v>
      </c>
      <c r="M104" s="325"/>
      <c r="N104" s="515"/>
      <c r="O104" s="500"/>
      <c r="P104" s="497"/>
      <c r="Q104" s="497"/>
      <c r="R104" s="497"/>
      <c r="S104" s="497"/>
      <c r="T104" s="536"/>
      <c r="U104" s="536"/>
      <c r="V104" s="536"/>
      <c r="W104" s="536"/>
      <c r="X104" s="536"/>
      <c r="Y104" s="536"/>
      <c r="Z104" s="536"/>
      <c r="AA104" s="536"/>
      <c r="AB104" s="536"/>
      <c r="AC104" s="536"/>
      <c r="AD104" s="536"/>
      <c r="AE104" s="537"/>
      <c r="AF104" s="537"/>
      <c r="AG104" s="537"/>
      <c r="AH104" s="537"/>
      <c r="AI104" s="537"/>
      <c r="AJ104" s="490" t="str">
        <f>DIETY!A97</f>
        <v>Syria</v>
      </c>
      <c r="AK104" s="491" t="str">
        <f>DIETY!B97</f>
        <v>USD</v>
      </c>
      <c r="AL104" s="492" t="str">
        <f t="shared" si="15"/>
        <v>EURO</v>
      </c>
      <c r="AM104" s="500"/>
      <c r="AN104" s="500"/>
      <c r="AO104" s="500"/>
      <c r="AP104" s="500"/>
      <c r="AQ104" s="500"/>
      <c r="AR104" s="500"/>
      <c r="AS104" s="500"/>
      <c r="AT104" s="500"/>
      <c r="AU104" s="500"/>
      <c r="AV104" s="500"/>
      <c r="AW104" s="500"/>
      <c r="AX104" s="500"/>
    </row>
    <row r="105" spans="1:50" s="538" customFormat="1" ht="18" customHeight="1" thickBot="1">
      <c r="A105" s="15"/>
      <c r="B105" s="24"/>
      <c r="C105" s="17"/>
      <c r="D105" s="17"/>
      <c r="E105" s="17"/>
      <c r="F105" s="18"/>
      <c r="G105" s="588" t="s">
        <v>351</v>
      </c>
      <c r="H105" s="589"/>
      <c r="I105" s="589"/>
      <c r="J105" s="590"/>
      <c r="K105" s="439"/>
      <c r="L105" s="440">
        <f>K105*E78</f>
        <v>0</v>
      </c>
      <c r="M105" s="325"/>
      <c r="N105" s="515"/>
      <c r="O105" s="500"/>
      <c r="P105" s="497"/>
      <c r="Q105" s="497"/>
      <c r="R105" s="497"/>
      <c r="S105" s="497"/>
      <c r="T105" s="536"/>
      <c r="U105" s="536"/>
      <c r="V105" s="536"/>
      <c r="W105" s="536"/>
      <c r="X105" s="536"/>
      <c r="Y105" s="536"/>
      <c r="Z105" s="536"/>
      <c r="AA105" s="536"/>
      <c r="AB105" s="536"/>
      <c r="AC105" s="536"/>
      <c r="AD105" s="536"/>
      <c r="AE105" s="537"/>
      <c r="AF105" s="537"/>
      <c r="AG105" s="537"/>
      <c r="AH105" s="537"/>
      <c r="AI105" s="537"/>
      <c r="AJ105" s="490" t="str">
        <f>DIETY!A98</f>
        <v>Szwajcaria</v>
      </c>
      <c r="AK105" s="491" t="str">
        <f>DIETY!B98</f>
        <v>CHF</v>
      </c>
      <c r="AL105" s="492" t="str">
        <f t="shared" si="15"/>
        <v>EURO</v>
      </c>
      <c r="AM105" s="500"/>
      <c r="AN105" s="500"/>
      <c r="AO105" s="500"/>
      <c r="AP105" s="500"/>
      <c r="AQ105" s="500"/>
      <c r="AR105" s="500"/>
      <c r="AS105" s="500"/>
      <c r="AT105" s="500"/>
      <c r="AU105" s="500"/>
      <c r="AV105" s="500"/>
      <c r="AW105" s="500"/>
      <c r="AX105" s="500"/>
    </row>
    <row r="106" spans="1:50" s="538" customFormat="1" ht="18.75" customHeight="1">
      <c r="A106" s="15"/>
      <c r="B106" s="21"/>
      <c r="C106" s="11"/>
      <c r="D106" s="11"/>
      <c r="E106" s="11"/>
      <c r="F106" s="16"/>
      <c r="G106" s="556" t="s">
        <v>408</v>
      </c>
      <c r="H106" s="557"/>
      <c r="I106" s="557"/>
      <c r="J106" s="558"/>
      <c r="K106" s="662"/>
      <c r="L106" s="591">
        <f>L80+L88+L93+L101+L82+L86</f>
        <v>70.09</v>
      </c>
      <c r="M106" s="321"/>
      <c r="N106" s="515"/>
      <c r="O106" s="500"/>
      <c r="P106" s="497"/>
      <c r="Q106" s="497"/>
      <c r="R106" s="497"/>
      <c r="S106" s="497"/>
      <c r="T106" s="536"/>
      <c r="U106" s="536"/>
      <c r="V106" s="536"/>
      <c r="W106" s="536"/>
      <c r="X106" s="536"/>
      <c r="Y106" s="536"/>
      <c r="Z106" s="536"/>
      <c r="AA106" s="536"/>
      <c r="AB106" s="536"/>
      <c r="AC106" s="536"/>
      <c r="AD106" s="536"/>
      <c r="AE106" s="537"/>
      <c r="AF106" s="537"/>
      <c r="AG106" s="537"/>
      <c r="AH106" s="537"/>
      <c r="AI106" s="537"/>
      <c r="AJ106" s="490" t="str">
        <f>DIETY!A99</f>
        <v>Szwecja</v>
      </c>
      <c r="AK106" s="491" t="str">
        <f>DIETY!B99</f>
        <v>SEK</v>
      </c>
      <c r="AL106" s="492" t="str">
        <f t="shared" si="15"/>
        <v>EURO</v>
      </c>
      <c r="AM106" s="500"/>
      <c r="AN106" s="500"/>
      <c r="AO106" s="500"/>
      <c r="AP106" s="500"/>
      <c r="AQ106" s="500"/>
      <c r="AR106" s="500"/>
      <c r="AS106" s="500"/>
      <c r="AT106" s="500"/>
      <c r="AU106" s="500"/>
      <c r="AV106" s="500"/>
      <c r="AW106" s="500"/>
      <c r="AX106" s="500"/>
    </row>
    <row r="107" spans="1:50" s="539" customFormat="1" ht="26.25">
      <c r="A107" s="15"/>
      <c r="B107" s="583" t="str">
        <f>'Excelblog.pl - Kwoty słownie'!B38</f>
        <v>siedemdziesiąt złotych 9/100 groszy </v>
      </c>
      <c r="C107" s="584"/>
      <c r="D107" s="584"/>
      <c r="E107" s="584"/>
      <c r="F107" s="585"/>
      <c r="G107" s="659"/>
      <c r="H107" s="660"/>
      <c r="I107" s="660"/>
      <c r="J107" s="661"/>
      <c r="K107" s="663"/>
      <c r="L107" s="665"/>
      <c r="M107" s="321"/>
      <c r="N107" s="515"/>
      <c r="O107" s="500"/>
      <c r="P107" s="497"/>
      <c r="Q107" s="497"/>
      <c r="R107" s="497"/>
      <c r="S107" s="497"/>
      <c r="T107" s="536"/>
      <c r="U107" s="536"/>
      <c r="V107" s="536"/>
      <c r="W107" s="536"/>
      <c r="X107" s="536"/>
      <c r="Y107" s="536"/>
      <c r="Z107" s="536"/>
      <c r="AA107" s="536"/>
      <c r="AB107" s="536"/>
      <c r="AC107" s="536"/>
      <c r="AD107" s="536"/>
      <c r="AE107" s="537"/>
      <c r="AF107" s="537"/>
      <c r="AG107" s="537"/>
      <c r="AH107" s="537"/>
      <c r="AI107" s="537"/>
      <c r="AJ107" s="490" t="str">
        <f>DIETY!A100</f>
        <v>Tadżykistan</v>
      </c>
      <c r="AK107" s="491" t="str">
        <f>DIETY!B100</f>
        <v>EURO</v>
      </c>
      <c r="AL107" s="492" t="str">
        <f t="shared" si="15"/>
        <v>EURO</v>
      </c>
      <c r="AM107" s="496"/>
      <c r="AN107" s="496"/>
      <c r="AO107" s="500"/>
      <c r="AP107" s="500"/>
      <c r="AQ107" s="500"/>
      <c r="AR107" s="500"/>
      <c r="AS107" s="500"/>
      <c r="AT107" s="500"/>
      <c r="AU107" s="500"/>
      <c r="AV107" s="500"/>
      <c r="AW107" s="500"/>
      <c r="AX107" s="500"/>
    </row>
    <row r="108" spans="1:50" s="539" customFormat="1" ht="19.5" thickBot="1">
      <c r="A108" s="15"/>
      <c r="B108" s="656" t="s">
        <v>116</v>
      </c>
      <c r="C108" s="657"/>
      <c r="D108" s="657"/>
      <c r="E108" s="657"/>
      <c r="F108" s="658"/>
      <c r="G108" s="559"/>
      <c r="H108" s="560"/>
      <c r="I108" s="560"/>
      <c r="J108" s="561"/>
      <c r="K108" s="664"/>
      <c r="L108" s="592"/>
      <c r="M108" s="321"/>
      <c r="N108" s="515"/>
      <c r="O108" s="500"/>
      <c r="P108" s="497"/>
      <c r="Q108" s="497"/>
      <c r="R108" s="497"/>
      <c r="S108" s="497"/>
      <c r="T108" s="536"/>
      <c r="U108" s="536"/>
      <c r="V108" s="536"/>
      <c r="W108" s="536"/>
      <c r="X108" s="536"/>
      <c r="Y108" s="536"/>
      <c r="Z108" s="536"/>
      <c r="AA108" s="536"/>
      <c r="AB108" s="536"/>
      <c r="AC108" s="536"/>
      <c r="AD108" s="536"/>
      <c r="AE108" s="537"/>
      <c r="AF108" s="537"/>
      <c r="AG108" s="537"/>
      <c r="AH108" s="537"/>
      <c r="AI108" s="537"/>
      <c r="AJ108" s="490" t="str">
        <f>DIETY!A101</f>
        <v>Tajlandia</v>
      </c>
      <c r="AK108" s="491" t="str">
        <f>DIETY!B101</f>
        <v>USD</v>
      </c>
      <c r="AL108" s="492" t="str">
        <f t="shared" si="15"/>
        <v>EURO</v>
      </c>
      <c r="AM108" s="496"/>
      <c r="AN108" s="496"/>
      <c r="AO108" s="500"/>
      <c r="AP108" s="500"/>
      <c r="AQ108" s="500"/>
      <c r="AR108" s="500"/>
      <c r="AS108" s="500"/>
      <c r="AT108" s="500"/>
      <c r="AU108" s="500"/>
      <c r="AV108" s="500"/>
      <c r="AW108" s="500"/>
      <c r="AX108" s="500"/>
    </row>
    <row r="109" spans="1:50" s="539" customFormat="1" ht="20.25">
      <c r="A109" s="15"/>
      <c r="B109" s="11"/>
      <c r="C109" s="11"/>
      <c r="D109" s="11"/>
      <c r="E109" s="11"/>
      <c r="F109" s="11"/>
      <c r="G109" s="307"/>
      <c r="H109" s="307"/>
      <c r="I109" s="307"/>
      <c r="J109" s="307"/>
      <c r="K109" s="307"/>
      <c r="L109" s="307"/>
      <c r="M109" s="326"/>
      <c r="N109" s="515"/>
      <c r="O109" s="500"/>
      <c r="P109" s="497"/>
      <c r="Q109" s="497"/>
      <c r="R109" s="497"/>
      <c r="S109" s="497"/>
      <c r="T109" s="536"/>
      <c r="U109" s="536"/>
      <c r="V109" s="536"/>
      <c r="W109" s="536"/>
      <c r="X109" s="536"/>
      <c r="Y109" s="536"/>
      <c r="Z109" s="536"/>
      <c r="AA109" s="536"/>
      <c r="AB109" s="536"/>
      <c r="AC109" s="536"/>
      <c r="AD109" s="536"/>
      <c r="AE109" s="537"/>
      <c r="AF109" s="537"/>
      <c r="AG109" s="537"/>
      <c r="AH109" s="537"/>
      <c r="AI109" s="537"/>
      <c r="AJ109" s="490" t="str">
        <f>DIETY!A102</f>
        <v>Tajwan</v>
      </c>
      <c r="AK109" s="491" t="str">
        <f>DIETY!B102</f>
        <v>EURO</v>
      </c>
      <c r="AL109" s="492" t="str">
        <f t="shared" si="15"/>
        <v>EURO</v>
      </c>
      <c r="AM109" s="496"/>
      <c r="AN109" s="496"/>
      <c r="AO109" s="500"/>
      <c r="AP109" s="500"/>
      <c r="AQ109" s="500"/>
      <c r="AR109" s="500"/>
      <c r="AS109" s="500"/>
      <c r="AT109" s="500"/>
      <c r="AU109" s="500"/>
      <c r="AV109" s="500"/>
      <c r="AW109" s="500"/>
      <c r="AX109" s="500"/>
    </row>
    <row r="110" spans="1:54" s="449" customFormat="1" ht="20.25">
      <c r="A110" s="15"/>
      <c r="B110" s="11"/>
      <c r="C110" s="11"/>
      <c r="D110" s="11"/>
      <c r="E110" s="11"/>
      <c r="F110" s="11"/>
      <c r="G110" s="11"/>
      <c r="H110" s="267" t="s">
        <v>109</v>
      </c>
      <c r="I110" s="267"/>
      <c r="J110" s="267"/>
      <c r="K110" s="576"/>
      <c r="L110" s="576"/>
      <c r="M110" s="327"/>
      <c r="N110" s="474"/>
      <c r="O110" s="475"/>
      <c r="P110" s="473"/>
      <c r="Q110" s="473"/>
      <c r="R110" s="473"/>
      <c r="S110" s="473"/>
      <c r="T110" s="476"/>
      <c r="U110" s="476"/>
      <c r="V110" s="455"/>
      <c r="W110" s="458"/>
      <c r="X110" s="455"/>
      <c r="Y110" s="455"/>
      <c r="Z110" s="455"/>
      <c r="AA110" s="455"/>
      <c r="AB110" s="455"/>
      <c r="AC110" s="455"/>
      <c r="AD110" s="455"/>
      <c r="AE110" s="456"/>
      <c r="AF110" s="456"/>
      <c r="AG110" s="456"/>
      <c r="AH110" s="456"/>
      <c r="AI110" s="456"/>
      <c r="AJ110" s="288" t="str">
        <f>DIETY!A103</f>
        <v>Tanzania</v>
      </c>
      <c r="AK110" s="289" t="str">
        <f>DIETY!B103</f>
        <v>USD</v>
      </c>
      <c r="AL110" s="15" t="str">
        <f t="shared" si="15"/>
        <v>EURO</v>
      </c>
      <c r="AM110" s="446"/>
      <c r="AN110" s="446"/>
      <c r="AO110" s="447"/>
      <c r="AP110" s="447"/>
      <c r="AQ110" s="447"/>
      <c r="AR110" s="447"/>
      <c r="AS110" s="447"/>
      <c r="AT110" s="447"/>
      <c r="AU110" s="447"/>
      <c r="AV110" s="447"/>
      <c r="AW110" s="447"/>
      <c r="AX110" s="447"/>
      <c r="AY110" s="457"/>
      <c r="AZ110" s="457"/>
      <c r="BA110" s="457"/>
      <c r="BB110" s="457"/>
    </row>
    <row r="111" spans="1:54" s="448" customFormat="1" ht="18" customHeight="1">
      <c r="A111" s="15"/>
      <c r="B111" s="11"/>
      <c r="C111" s="11"/>
      <c r="D111" s="11"/>
      <c r="E111" s="11"/>
      <c r="F111" s="11"/>
      <c r="G111" s="11"/>
      <c r="H111" s="11"/>
      <c r="I111" s="184"/>
      <c r="J111" s="184"/>
      <c r="K111" s="184"/>
      <c r="L111" s="184"/>
      <c r="M111" s="327"/>
      <c r="N111" s="474"/>
      <c r="O111" s="474"/>
      <c r="P111" s="477"/>
      <c r="Q111" s="477"/>
      <c r="R111" s="477"/>
      <c r="S111" s="477"/>
      <c r="T111" s="478"/>
      <c r="U111" s="478"/>
      <c r="V111" s="459"/>
      <c r="W111" s="459"/>
      <c r="X111" s="459"/>
      <c r="Y111" s="459"/>
      <c r="Z111" s="459"/>
      <c r="AA111" s="459"/>
      <c r="AB111" s="459"/>
      <c r="AC111" s="459"/>
      <c r="AD111" s="459"/>
      <c r="AE111" s="460"/>
      <c r="AF111" s="460"/>
      <c r="AG111" s="460"/>
      <c r="AH111" s="460"/>
      <c r="AI111" s="460"/>
      <c r="AJ111" s="288" t="str">
        <f>DIETY!A104</f>
        <v>Tunezja</v>
      </c>
      <c r="AK111" s="289" t="str">
        <f>DIETY!B104</f>
        <v>EURO</v>
      </c>
      <c r="AL111" s="15" t="str">
        <f t="shared" si="15"/>
        <v>EURO</v>
      </c>
      <c r="AM111" s="446"/>
      <c r="AN111" s="446"/>
      <c r="AO111" s="446"/>
      <c r="AP111" s="446"/>
      <c r="AQ111" s="446"/>
      <c r="AR111" s="446"/>
      <c r="AS111" s="446"/>
      <c r="AT111" s="446"/>
      <c r="AU111" s="446"/>
      <c r="AV111" s="446"/>
      <c r="AW111" s="446"/>
      <c r="AX111" s="446"/>
      <c r="AY111" s="445"/>
      <c r="AZ111" s="445"/>
      <c r="BA111" s="445"/>
      <c r="BB111" s="445"/>
    </row>
    <row r="112" spans="2:50" ht="18" customHeight="1" hidden="1">
      <c r="B112" s="11"/>
      <c r="C112" s="11"/>
      <c r="D112" s="11"/>
      <c r="E112" s="11"/>
      <c r="F112" s="11"/>
      <c r="G112" s="11"/>
      <c r="H112" s="11"/>
      <c r="I112" s="184"/>
      <c r="J112" s="184"/>
      <c r="K112" s="184"/>
      <c r="L112" s="184"/>
      <c r="M112" s="327"/>
      <c r="N112" s="474"/>
      <c r="O112" s="474"/>
      <c r="P112" s="477"/>
      <c r="Q112" s="477"/>
      <c r="R112" s="477"/>
      <c r="S112" s="477"/>
      <c r="T112" s="478"/>
      <c r="U112" s="478"/>
      <c r="V112" s="459"/>
      <c r="W112" s="459"/>
      <c r="X112" s="459"/>
      <c r="Y112" s="459"/>
      <c r="Z112" s="459"/>
      <c r="AA112" s="459"/>
      <c r="AB112" s="459"/>
      <c r="AC112" s="459"/>
      <c r="AD112" s="459"/>
      <c r="AE112" s="460"/>
      <c r="AF112" s="460"/>
      <c r="AG112" s="460"/>
      <c r="AH112" s="460"/>
      <c r="AI112" s="460"/>
      <c r="AJ112" s="288" t="str">
        <f>DIETY!A105</f>
        <v>Turcja</v>
      </c>
      <c r="AK112" s="289" t="str">
        <f>DIETY!B105</f>
        <v>USD</v>
      </c>
      <c r="AL112" s="15" t="str">
        <f t="shared" si="15"/>
        <v>EURO</v>
      </c>
      <c r="AM112" s="446"/>
      <c r="AN112" s="446"/>
      <c r="AO112" s="446"/>
      <c r="AP112" s="446"/>
      <c r="AQ112" s="446"/>
      <c r="AR112" s="446"/>
      <c r="AS112" s="446"/>
      <c r="AT112" s="446"/>
      <c r="AU112" s="446"/>
      <c r="AV112" s="446"/>
      <c r="AW112" s="446"/>
      <c r="AX112" s="446"/>
    </row>
    <row r="113" spans="2:99" ht="18" customHeight="1" hidden="1">
      <c r="B113" s="11"/>
      <c r="C113" s="11"/>
      <c r="D113" s="11"/>
      <c r="E113" s="11"/>
      <c r="F113" s="11"/>
      <c r="G113" s="11"/>
      <c r="H113" s="11"/>
      <c r="I113" s="184"/>
      <c r="J113" s="184"/>
      <c r="K113" s="184"/>
      <c r="L113" s="184"/>
      <c r="M113" s="327"/>
      <c r="N113" s="479"/>
      <c r="O113" s="479"/>
      <c r="P113" s="480"/>
      <c r="Q113" s="481"/>
      <c r="R113" s="481"/>
      <c r="S113" s="481"/>
      <c r="T113" s="482"/>
      <c r="U113" s="482"/>
      <c r="V113" s="462"/>
      <c r="W113" s="462"/>
      <c r="X113" s="462"/>
      <c r="Y113" s="462"/>
      <c r="Z113" s="462"/>
      <c r="AA113" s="462"/>
      <c r="AB113" s="462"/>
      <c r="AC113" s="462"/>
      <c r="AD113" s="462"/>
      <c r="AE113" s="463"/>
      <c r="AF113" s="463"/>
      <c r="AG113" s="463"/>
      <c r="AH113" s="463"/>
      <c r="AI113" s="463"/>
      <c r="AJ113" s="288" t="str">
        <f>DIETY!A106</f>
        <v>Turkmenistan</v>
      </c>
      <c r="AK113" s="289" t="str">
        <f>DIETY!B106</f>
        <v>USD</v>
      </c>
      <c r="AL113" s="15" t="str">
        <f t="shared" si="15"/>
        <v>EURO</v>
      </c>
      <c r="AO113" s="457"/>
      <c r="AP113" s="457"/>
      <c r="AQ113" s="457"/>
      <c r="AR113" s="457"/>
      <c r="AS113" s="457"/>
      <c r="AT113" s="457"/>
      <c r="AU113" s="457"/>
      <c r="AV113" s="457"/>
      <c r="AW113" s="457"/>
      <c r="AX113" s="457"/>
      <c r="AY113" s="457"/>
      <c r="AZ113" s="457"/>
      <c r="BA113" s="457"/>
      <c r="BB113" s="457"/>
      <c r="BC113" s="249"/>
      <c r="BD113" s="249"/>
      <c r="BE113" s="249"/>
      <c r="BF113" s="249"/>
      <c r="BG113" s="249"/>
      <c r="BH113" s="249"/>
      <c r="BI113" s="249"/>
      <c r="BJ113" s="249"/>
      <c r="BK113" s="249"/>
      <c r="BL113" s="249"/>
      <c r="BM113" s="249"/>
      <c r="BN113" s="249"/>
      <c r="BO113" s="249"/>
      <c r="BP113" s="249"/>
      <c r="BQ113" s="249"/>
      <c r="BR113" s="249"/>
      <c r="BS113" s="249"/>
      <c r="BT113" s="249"/>
      <c r="BU113" s="249"/>
      <c r="BV113" s="249"/>
      <c r="BW113" s="249"/>
      <c r="BX113" s="249"/>
      <c r="BY113" s="249"/>
      <c r="BZ113" s="249"/>
      <c r="CA113" s="249"/>
      <c r="CB113" s="249"/>
      <c r="CC113" s="249"/>
      <c r="CD113" s="249"/>
      <c r="CE113" s="249"/>
      <c r="CF113" s="249"/>
      <c r="CG113" s="249"/>
      <c r="CH113" s="249"/>
      <c r="CI113" s="249"/>
      <c r="CJ113" s="249"/>
      <c r="CK113" s="249"/>
      <c r="CL113" s="249"/>
      <c r="CM113" s="249"/>
      <c r="CN113" s="249"/>
      <c r="CO113" s="249"/>
      <c r="CP113" s="249"/>
      <c r="CQ113" s="249"/>
      <c r="CR113" s="249"/>
      <c r="CS113" s="249"/>
      <c r="CT113" s="249"/>
      <c r="CU113" s="249"/>
    </row>
    <row r="114" spans="2:99" ht="18" customHeight="1" hidden="1">
      <c r="B114"/>
      <c r="C114"/>
      <c r="D114"/>
      <c r="E114"/>
      <c r="F114"/>
      <c r="G114"/>
      <c r="H114"/>
      <c r="I114"/>
      <c r="J114"/>
      <c r="K114"/>
      <c r="L114"/>
      <c r="M114" s="328"/>
      <c r="N114" s="479"/>
      <c r="O114" s="479"/>
      <c r="P114" s="480"/>
      <c r="Q114" s="481"/>
      <c r="R114" s="481"/>
      <c r="S114" s="481"/>
      <c r="T114" s="482"/>
      <c r="U114" s="482"/>
      <c r="V114" s="462"/>
      <c r="W114" s="462"/>
      <c r="X114" s="462"/>
      <c r="Y114" s="462"/>
      <c r="Z114" s="462"/>
      <c r="AA114" s="462"/>
      <c r="AB114" s="462"/>
      <c r="AC114" s="462"/>
      <c r="AD114" s="462"/>
      <c r="AE114" s="463"/>
      <c r="AF114" s="463"/>
      <c r="AG114" s="463"/>
      <c r="AH114" s="463"/>
      <c r="AI114" s="463"/>
      <c r="AJ114" s="288" t="str">
        <f>DIETY!A107</f>
        <v>Ukraina</v>
      </c>
      <c r="AK114" s="289" t="str">
        <f>DIETY!B107</f>
        <v>EURO</v>
      </c>
      <c r="AL114" s="15" t="str">
        <f t="shared" si="15"/>
        <v>EURO</v>
      </c>
      <c r="AO114" s="457"/>
      <c r="AP114" s="457"/>
      <c r="AQ114" s="457"/>
      <c r="AR114" s="457"/>
      <c r="AS114" s="457"/>
      <c r="AT114" s="457"/>
      <c r="AU114" s="457"/>
      <c r="AV114" s="457"/>
      <c r="AW114" s="457"/>
      <c r="AX114" s="457"/>
      <c r="AY114" s="457"/>
      <c r="AZ114" s="457"/>
      <c r="BA114" s="457"/>
      <c r="BB114" s="457"/>
      <c r="BC114" s="249"/>
      <c r="BD114" s="249"/>
      <c r="BE114" s="249"/>
      <c r="BF114" s="249"/>
      <c r="BG114" s="249"/>
      <c r="BH114" s="249"/>
      <c r="BI114" s="249"/>
      <c r="BJ114" s="249"/>
      <c r="BK114" s="249"/>
      <c r="BL114" s="249"/>
      <c r="BM114" s="249"/>
      <c r="BN114" s="249"/>
      <c r="BO114" s="249"/>
      <c r="BP114" s="249"/>
      <c r="BQ114" s="249"/>
      <c r="BR114" s="249"/>
      <c r="BS114" s="249"/>
      <c r="BT114" s="249"/>
      <c r="BU114" s="249"/>
      <c r="BV114" s="249"/>
      <c r="BW114" s="249"/>
      <c r="BX114" s="249"/>
      <c r="BY114" s="249"/>
      <c r="BZ114" s="249"/>
      <c r="CA114" s="249"/>
      <c r="CB114" s="249"/>
      <c r="CC114" s="249"/>
      <c r="CD114" s="249"/>
      <c r="CE114" s="249"/>
      <c r="CF114" s="249"/>
      <c r="CG114" s="249"/>
      <c r="CH114" s="249"/>
      <c r="CI114" s="249"/>
      <c r="CJ114" s="249"/>
      <c r="CK114" s="249"/>
      <c r="CL114" s="249"/>
      <c r="CM114" s="249"/>
      <c r="CN114" s="249"/>
      <c r="CO114" s="249"/>
      <c r="CP114" s="249"/>
      <c r="CQ114" s="249"/>
      <c r="CR114" s="249"/>
      <c r="CS114" s="249"/>
      <c r="CT114" s="249"/>
      <c r="CU114" s="249"/>
    </row>
    <row r="115" spans="15:99" ht="18" customHeight="1" hidden="1">
      <c r="O115" s="479"/>
      <c r="P115" s="263"/>
      <c r="Q115" s="481"/>
      <c r="R115" s="481"/>
      <c r="S115" s="481"/>
      <c r="T115" s="482"/>
      <c r="U115" s="482"/>
      <c r="V115" s="462"/>
      <c r="W115" s="462"/>
      <c r="X115" s="462"/>
      <c r="Y115" s="462"/>
      <c r="Z115" s="462"/>
      <c r="AA115" s="462"/>
      <c r="AB115" s="462"/>
      <c r="AC115" s="462"/>
      <c r="AD115" s="462"/>
      <c r="AE115" s="463"/>
      <c r="AF115" s="463"/>
      <c r="AG115" s="463"/>
      <c r="AH115" s="463"/>
      <c r="AI115" s="463"/>
      <c r="AJ115" s="288" t="str">
        <f>DIETY!A108</f>
        <v>Urugwaj</v>
      </c>
      <c r="AK115" s="289" t="str">
        <f>DIETY!B108</f>
        <v>USD</v>
      </c>
      <c r="AL115" s="15" t="str">
        <f t="shared" si="15"/>
        <v>EURO</v>
      </c>
      <c r="AO115" s="457"/>
      <c r="AP115" s="457"/>
      <c r="AQ115" s="457"/>
      <c r="AR115" s="457"/>
      <c r="AS115" s="457"/>
      <c r="AT115" s="457"/>
      <c r="AU115" s="457"/>
      <c r="AV115" s="457"/>
      <c r="AW115" s="457"/>
      <c r="AX115" s="457"/>
      <c r="AY115" s="457"/>
      <c r="AZ115" s="457"/>
      <c r="BA115" s="457"/>
      <c r="BB115" s="457"/>
      <c r="BC115" s="249"/>
      <c r="BD115" s="249"/>
      <c r="BE115" s="249"/>
      <c r="BF115" s="249"/>
      <c r="BG115" s="249"/>
      <c r="BH115" s="249"/>
      <c r="BI115" s="249"/>
      <c r="BJ115" s="249"/>
      <c r="BK115" s="249"/>
      <c r="BL115" s="249"/>
      <c r="BM115" s="249"/>
      <c r="BN115" s="249"/>
      <c r="BO115" s="249"/>
      <c r="BP115" s="249"/>
      <c r="BQ115" s="249"/>
      <c r="BR115" s="249"/>
      <c r="BS115" s="249"/>
      <c r="BT115" s="249"/>
      <c r="BU115" s="249"/>
      <c r="BV115" s="249"/>
      <c r="BW115" s="249"/>
      <c r="BX115" s="249"/>
      <c r="BY115" s="249"/>
      <c r="BZ115" s="249"/>
      <c r="CA115" s="249"/>
      <c r="CB115" s="249"/>
      <c r="CC115" s="249"/>
      <c r="CD115" s="249"/>
      <c r="CE115" s="249"/>
      <c r="CF115" s="249"/>
      <c r="CG115" s="249"/>
      <c r="CH115" s="249"/>
      <c r="CI115" s="249"/>
      <c r="CJ115" s="249"/>
      <c r="CK115" s="249"/>
      <c r="CL115" s="249"/>
      <c r="CM115" s="249"/>
      <c r="CN115" s="249"/>
      <c r="CO115" s="249"/>
      <c r="CP115" s="249"/>
      <c r="CQ115" s="249"/>
      <c r="CR115" s="249"/>
      <c r="CS115" s="249"/>
      <c r="CT115" s="249"/>
      <c r="CU115" s="249"/>
    </row>
    <row r="116" spans="15:99" ht="18" customHeight="1" hidden="1">
      <c r="O116" s="479"/>
      <c r="P116" s="263"/>
      <c r="Q116" s="481"/>
      <c r="R116" s="481"/>
      <c r="S116" s="481"/>
      <c r="T116" s="482"/>
      <c r="U116" s="482"/>
      <c r="V116" s="462"/>
      <c r="W116" s="462"/>
      <c r="X116" s="462"/>
      <c r="Y116" s="462"/>
      <c r="Z116" s="462"/>
      <c r="AA116" s="462"/>
      <c r="AB116" s="462"/>
      <c r="AC116" s="462"/>
      <c r="AD116" s="462"/>
      <c r="AE116" s="463"/>
      <c r="AF116" s="463"/>
      <c r="AG116" s="463"/>
      <c r="AH116" s="463"/>
      <c r="AI116" s="463"/>
      <c r="AJ116" s="288" t="str">
        <f>DIETY!A109</f>
        <v>Uzbekistan</v>
      </c>
      <c r="AK116" s="289" t="str">
        <f>DIETY!B109</f>
        <v>EURO</v>
      </c>
      <c r="AL116" s="15" t="str">
        <f t="shared" si="15"/>
        <v>EURO</v>
      </c>
      <c r="AO116" s="457"/>
      <c r="AP116" s="457"/>
      <c r="AQ116" s="457"/>
      <c r="AR116" s="457"/>
      <c r="AS116" s="457"/>
      <c r="AT116" s="457"/>
      <c r="AU116" s="457"/>
      <c r="AV116" s="457"/>
      <c r="AW116" s="457"/>
      <c r="AX116" s="457"/>
      <c r="AY116" s="457"/>
      <c r="AZ116" s="457"/>
      <c r="BA116" s="457"/>
      <c r="BB116" s="457"/>
      <c r="BC116" s="249"/>
      <c r="BD116" s="249"/>
      <c r="BE116" s="249"/>
      <c r="BF116" s="249"/>
      <c r="BG116" s="249"/>
      <c r="BH116" s="249"/>
      <c r="BI116" s="249"/>
      <c r="BJ116" s="249"/>
      <c r="BK116" s="249"/>
      <c r="BL116" s="249"/>
      <c r="BM116" s="249"/>
      <c r="BN116" s="249"/>
      <c r="BO116" s="249"/>
      <c r="BP116" s="249"/>
      <c r="BQ116" s="249"/>
      <c r="BR116" s="249"/>
      <c r="BS116" s="249"/>
      <c r="BT116" s="249"/>
      <c r="BU116" s="249"/>
      <c r="BV116" s="249"/>
      <c r="BW116" s="249"/>
      <c r="BX116" s="249"/>
      <c r="BY116" s="249"/>
      <c r="BZ116" s="249"/>
      <c r="CA116" s="249"/>
      <c r="CB116" s="249"/>
      <c r="CC116" s="249"/>
      <c r="CD116" s="249"/>
      <c r="CE116" s="249"/>
      <c r="CF116" s="249"/>
      <c r="CG116" s="249"/>
      <c r="CH116" s="249"/>
      <c r="CI116" s="249"/>
      <c r="CJ116" s="249"/>
      <c r="CK116" s="249"/>
      <c r="CL116" s="249"/>
      <c r="CM116" s="249"/>
      <c r="CN116" s="249"/>
      <c r="CO116" s="249"/>
      <c r="CP116" s="249"/>
      <c r="CQ116" s="249"/>
      <c r="CR116" s="249"/>
      <c r="CS116" s="249"/>
      <c r="CT116" s="249"/>
      <c r="CU116" s="249"/>
    </row>
    <row r="117" spans="15:99" ht="18" customHeight="1" hidden="1">
      <c r="O117" s="479"/>
      <c r="P117" s="263"/>
      <c r="Q117" s="481"/>
      <c r="R117" s="481"/>
      <c r="S117" s="481"/>
      <c r="T117" s="482"/>
      <c r="U117" s="482"/>
      <c r="V117" s="462"/>
      <c r="W117" s="462"/>
      <c r="X117" s="462"/>
      <c r="Y117" s="462"/>
      <c r="Z117" s="462"/>
      <c r="AA117" s="462"/>
      <c r="AB117" s="462"/>
      <c r="AC117" s="462"/>
      <c r="AD117" s="462"/>
      <c r="AE117" s="463"/>
      <c r="AF117" s="463"/>
      <c r="AG117" s="463"/>
      <c r="AH117" s="463"/>
      <c r="AI117" s="463"/>
      <c r="AJ117" s="288" t="str">
        <f>DIETY!A110</f>
        <v>Wenezuela</v>
      </c>
      <c r="AK117" s="289" t="str">
        <f>DIETY!B110</f>
        <v>USD</v>
      </c>
      <c r="AL117" s="15" t="str">
        <f t="shared" si="15"/>
        <v>EURO</v>
      </c>
      <c r="AO117" s="457"/>
      <c r="AP117" s="457"/>
      <c r="AQ117" s="457"/>
      <c r="AR117" s="457"/>
      <c r="AS117" s="457"/>
      <c r="AT117" s="457"/>
      <c r="AU117" s="457"/>
      <c r="AV117" s="457"/>
      <c r="AW117" s="457"/>
      <c r="AX117" s="457"/>
      <c r="AY117" s="457"/>
      <c r="AZ117" s="457"/>
      <c r="BA117" s="457"/>
      <c r="BB117" s="457"/>
      <c r="BC117" s="249"/>
      <c r="BD117" s="249"/>
      <c r="BE117" s="249"/>
      <c r="BF117" s="249"/>
      <c r="BG117" s="249"/>
      <c r="BH117" s="249"/>
      <c r="BI117" s="249"/>
      <c r="BJ117" s="249"/>
      <c r="BK117" s="249"/>
      <c r="BL117" s="249"/>
      <c r="BM117" s="249"/>
      <c r="BN117" s="249"/>
      <c r="BO117" s="249"/>
      <c r="BP117" s="249"/>
      <c r="BQ117" s="249"/>
      <c r="BR117" s="249"/>
      <c r="BS117" s="249"/>
      <c r="BT117" s="249"/>
      <c r="BU117" s="249"/>
      <c r="BV117" s="249"/>
      <c r="BW117" s="249"/>
      <c r="BX117" s="249"/>
      <c r="BY117" s="249"/>
      <c r="BZ117" s="249"/>
      <c r="CA117" s="249"/>
      <c r="CB117" s="249"/>
      <c r="CC117" s="249"/>
      <c r="CD117" s="249"/>
      <c r="CE117" s="249"/>
      <c r="CF117" s="249"/>
      <c r="CG117" s="249"/>
      <c r="CH117" s="249"/>
      <c r="CI117" s="249"/>
      <c r="CJ117" s="249"/>
      <c r="CK117" s="249"/>
      <c r="CL117" s="249"/>
      <c r="CM117" s="249"/>
      <c r="CN117" s="249"/>
      <c r="CO117" s="249"/>
      <c r="CP117" s="249"/>
      <c r="CQ117" s="249"/>
      <c r="CR117" s="249"/>
      <c r="CS117" s="249"/>
      <c r="CT117" s="249"/>
      <c r="CU117" s="249"/>
    </row>
    <row r="118" spans="15:99" ht="18" customHeight="1" hidden="1">
      <c r="O118" s="479"/>
      <c r="P118" s="263"/>
      <c r="Q118" s="481"/>
      <c r="R118" s="481"/>
      <c r="S118" s="481"/>
      <c r="T118" s="482"/>
      <c r="U118" s="482"/>
      <c r="V118" s="462"/>
      <c r="W118" s="462"/>
      <c r="X118" s="462"/>
      <c r="Y118" s="462"/>
      <c r="Z118" s="462"/>
      <c r="AA118" s="462"/>
      <c r="AB118" s="462"/>
      <c r="AC118" s="462"/>
      <c r="AD118" s="462"/>
      <c r="AE118" s="463"/>
      <c r="AF118" s="463"/>
      <c r="AG118" s="463"/>
      <c r="AH118" s="463"/>
      <c r="AI118" s="463"/>
      <c r="AJ118" s="288" t="str">
        <f>DIETY!A111</f>
        <v>Węgry</v>
      </c>
      <c r="AK118" s="289" t="str">
        <f>DIETY!B111</f>
        <v>EURO</v>
      </c>
      <c r="AL118" s="15" t="str">
        <f t="shared" si="15"/>
        <v>EURO</v>
      </c>
      <c r="AO118" s="457"/>
      <c r="AP118" s="457"/>
      <c r="AQ118" s="457"/>
      <c r="AR118" s="457"/>
      <c r="AS118" s="457"/>
      <c r="AT118" s="457"/>
      <c r="AU118" s="457"/>
      <c r="AV118" s="457"/>
      <c r="AW118" s="457"/>
      <c r="AX118" s="457"/>
      <c r="AY118" s="457"/>
      <c r="AZ118" s="457"/>
      <c r="BA118" s="457"/>
      <c r="BB118" s="457"/>
      <c r="BC118" s="249"/>
      <c r="BD118" s="249"/>
      <c r="BE118" s="249"/>
      <c r="BF118" s="249"/>
      <c r="BG118" s="249"/>
      <c r="BH118" s="249"/>
      <c r="BI118" s="249"/>
      <c r="BJ118" s="249"/>
      <c r="BK118" s="249"/>
      <c r="BL118" s="249"/>
      <c r="BM118" s="249"/>
      <c r="BN118" s="249"/>
      <c r="BO118" s="249"/>
      <c r="BP118" s="249"/>
      <c r="BQ118" s="249"/>
      <c r="BR118" s="249"/>
      <c r="BS118" s="249"/>
      <c r="BT118" s="249"/>
      <c r="BU118" s="249"/>
      <c r="BV118" s="249"/>
      <c r="BW118" s="249"/>
      <c r="BX118" s="249"/>
      <c r="BY118" s="249"/>
      <c r="BZ118" s="249"/>
      <c r="CA118" s="249"/>
      <c r="CB118" s="249"/>
      <c r="CC118" s="249"/>
      <c r="CD118" s="249"/>
      <c r="CE118" s="249"/>
      <c r="CF118" s="249"/>
      <c r="CG118" s="249"/>
      <c r="CH118" s="249"/>
      <c r="CI118" s="249"/>
      <c r="CJ118" s="249"/>
      <c r="CK118" s="249"/>
      <c r="CL118" s="249"/>
      <c r="CM118" s="249"/>
      <c r="CN118" s="249"/>
      <c r="CO118" s="249"/>
      <c r="CP118" s="249"/>
      <c r="CQ118" s="249"/>
      <c r="CR118" s="249"/>
      <c r="CS118" s="249"/>
      <c r="CT118" s="249"/>
      <c r="CU118" s="249"/>
    </row>
    <row r="119" spans="15:99" ht="18" customHeight="1" hidden="1">
      <c r="O119" s="479"/>
      <c r="P119" s="263"/>
      <c r="Q119" s="481"/>
      <c r="R119" s="481"/>
      <c r="S119" s="481"/>
      <c r="T119" s="482"/>
      <c r="U119" s="482"/>
      <c r="V119" s="462"/>
      <c r="W119" s="464"/>
      <c r="X119" s="462"/>
      <c r="Y119" s="462"/>
      <c r="Z119" s="462"/>
      <c r="AA119" s="462"/>
      <c r="AB119" s="462"/>
      <c r="AC119" s="462"/>
      <c r="AD119" s="462"/>
      <c r="AE119" s="463"/>
      <c r="AF119" s="463"/>
      <c r="AG119" s="463"/>
      <c r="AH119" s="463"/>
      <c r="AI119" s="463"/>
      <c r="AJ119" s="288" t="str">
        <f>DIETY!A112</f>
        <v>Wielka Brytania</v>
      </c>
      <c r="AK119" s="289" t="str">
        <f>DIETY!B112</f>
        <v>GBP</v>
      </c>
      <c r="AL119" s="15" t="str">
        <f t="shared" si="15"/>
        <v>EURO</v>
      </c>
      <c r="AO119" s="457"/>
      <c r="AP119" s="457"/>
      <c r="AQ119" s="457"/>
      <c r="AR119" s="457"/>
      <c r="AS119" s="457"/>
      <c r="AT119" s="457"/>
      <c r="AU119" s="457"/>
      <c r="AV119" s="457"/>
      <c r="AW119" s="457"/>
      <c r="AX119" s="457"/>
      <c r="AY119" s="457"/>
      <c r="AZ119" s="457"/>
      <c r="BA119" s="457"/>
      <c r="BB119" s="457"/>
      <c r="BC119" s="249"/>
      <c r="BD119" s="249"/>
      <c r="BE119" s="249"/>
      <c r="BF119" s="249"/>
      <c r="BG119" s="249"/>
      <c r="BH119" s="249"/>
      <c r="BI119" s="249"/>
      <c r="BJ119" s="249"/>
      <c r="BK119" s="249"/>
      <c r="BL119" s="249"/>
      <c r="BM119" s="249"/>
      <c r="BN119" s="249"/>
      <c r="BO119" s="249"/>
      <c r="BP119" s="249"/>
      <c r="BQ119" s="249"/>
      <c r="BR119" s="249"/>
      <c r="BS119" s="249"/>
      <c r="BT119" s="249"/>
      <c r="BU119" s="249"/>
      <c r="BV119" s="249"/>
      <c r="BW119" s="249"/>
      <c r="BX119" s="249"/>
      <c r="BY119" s="249"/>
      <c r="BZ119" s="249"/>
      <c r="CA119" s="249"/>
      <c r="CB119" s="249"/>
      <c r="CC119" s="249"/>
      <c r="CD119" s="249"/>
      <c r="CE119" s="249"/>
      <c r="CF119" s="249"/>
      <c r="CG119" s="249"/>
      <c r="CH119" s="249"/>
      <c r="CI119" s="249"/>
      <c r="CJ119" s="249"/>
      <c r="CK119" s="249"/>
      <c r="CL119" s="249"/>
      <c r="CM119" s="249"/>
      <c r="CN119" s="249"/>
      <c r="CO119" s="249"/>
      <c r="CP119" s="249"/>
      <c r="CQ119" s="249"/>
      <c r="CR119" s="249"/>
      <c r="CS119" s="249"/>
      <c r="CT119" s="249"/>
      <c r="CU119" s="249"/>
    </row>
    <row r="120" spans="15:38" ht="18" customHeight="1" hidden="1">
      <c r="O120" s="479"/>
      <c r="P120" s="263"/>
      <c r="Q120" s="480"/>
      <c r="R120" s="480"/>
      <c r="S120" s="480"/>
      <c r="T120" s="483"/>
      <c r="U120" s="483"/>
      <c r="V120" s="465"/>
      <c r="W120" s="465"/>
      <c r="X120" s="465"/>
      <c r="Y120" s="465"/>
      <c r="Z120" s="465"/>
      <c r="AA120" s="465"/>
      <c r="AB120" s="465"/>
      <c r="AC120" s="465"/>
      <c r="AD120" s="465"/>
      <c r="AE120" s="450"/>
      <c r="AF120" s="450"/>
      <c r="AG120" s="450"/>
      <c r="AH120" s="450"/>
      <c r="AI120" s="450"/>
      <c r="AJ120" s="288" t="str">
        <f>DIETY!A113</f>
        <v>Wietnam</v>
      </c>
      <c r="AK120" s="289" t="str">
        <f>DIETY!B113</f>
        <v>USD</v>
      </c>
      <c r="AL120" s="15" t="str">
        <f t="shared" si="15"/>
        <v>EURO</v>
      </c>
    </row>
    <row r="121" spans="15:38" ht="18" customHeight="1" hidden="1">
      <c r="O121" s="479"/>
      <c r="P121" s="263"/>
      <c r="Q121" s="480"/>
      <c r="R121" s="480"/>
      <c r="S121" s="480"/>
      <c r="T121" s="483"/>
      <c r="U121" s="483"/>
      <c r="V121" s="465"/>
      <c r="W121" s="465"/>
      <c r="X121" s="465"/>
      <c r="Y121" s="465"/>
      <c r="Z121" s="465"/>
      <c r="AA121" s="465"/>
      <c r="AB121" s="465"/>
      <c r="AC121" s="465"/>
      <c r="AD121" s="465"/>
      <c r="AE121" s="450"/>
      <c r="AF121" s="450"/>
      <c r="AG121" s="450"/>
      <c r="AH121" s="450"/>
      <c r="AI121" s="450"/>
      <c r="AJ121" s="288" t="str">
        <f>DIETY!A114</f>
        <v>Włochy</v>
      </c>
      <c r="AK121" s="289" t="str">
        <f>DIETY!B114</f>
        <v>EURO</v>
      </c>
      <c r="AL121" s="15" t="str">
        <f t="shared" si="15"/>
        <v>EURO</v>
      </c>
    </row>
    <row r="122" spans="15:38" ht="18" customHeight="1" hidden="1">
      <c r="O122" s="479"/>
      <c r="P122" s="263"/>
      <c r="Q122" s="480"/>
      <c r="R122" s="480"/>
      <c r="S122" s="480"/>
      <c r="T122" s="483"/>
      <c r="U122" s="483"/>
      <c r="V122" s="465"/>
      <c r="W122" s="465"/>
      <c r="X122" s="465"/>
      <c r="Y122" s="465"/>
      <c r="Z122" s="465"/>
      <c r="AA122" s="465"/>
      <c r="AB122" s="465"/>
      <c r="AC122" s="465"/>
      <c r="AD122" s="465"/>
      <c r="AE122" s="450"/>
      <c r="AF122" s="450"/>
      <c r="AG122" s="450"/>
      <c r="AH122" s="450"/>
      <c r="AI122" s="450"/>
      <c r="AJ122" s="288" t="str">
        <f>DIETY!A115</f>
        <v>Wybrzeże Kości Słoniowej</v>
      </c>
      <c r="AK122" s="289" t="str">
        <f>DIETY!B115</f>
        <v>EURO</v>
      </c>
      <c r="AL122" s="15" t="str">
        <f t="shared" si="15"/>
        <v>EURO</v>
      </c>
    </row>
    <row r="123" spans="15:38" ht="18" customHeight="1" hidden="1">
      <c r="O123" s="479"/>
      <c r="P123" s="263"/>
      <c r="Q123" s="480"/>
      <c r="R123" s="480"/>
      <c r="S123" s="480"/>
      <c r="T123" s="483"/>
      <c r="U123" s="483"/>
      <c r="V123" s="465"/>
      <c r="W123" s="465"/>
      <c r="X123" s="465"/>
      <c r="Y123" s="465"/>
      <c r="Z123" s="465"/>
      <c r="AA123" s="465"/>
      <c r="AB123" s="465"/>
      <c r="AC123" s="465"/>
      <c r="AD123" s="465"/>
      <c r="AE123" s="450"/>
      <c r="AF123" s="450"/>
      <c r="AG123" s="450"/>
      <c r="AH123" s="450"/>
      <c r="AI123" s="450"/>
      <c r="AJ123" s="288" t="str">
        <f>DIETY!A116</f>
        <v>Zimbabwe</v>
      </c>
      <c r="AK123" s="289" t="str">
        <f>DIETY!B116</f>
        <v>EURO</v>
      </c>
      <c r="AL123" s="15" t="str">
        <f t="shared" si="15"/>
        <v>EURO</v>
      </c>
    </row>
    <row r="124" spans="15:38" ht="18" customHeight="1" hidden="1">
      <c r="O124" s="479"/>
      <c r="P124" s="263"/>
      <c r="Q124" s="480"/>
      <c r="R124" s="480"/>
      <c r="S124" s="480"/>
      <c r="T124" s="483"/>
      <c r="U124" s="483"/>
      <c r="V124" s="465"/>
      <c r="W124" s="465"/>
      <c r="X124" s="465"/>
      <c r="Y124" s="465"/>
      <c r="Z124" s="465"/>
      <c r="AA124" s="465"/>
      <c r="AB124" s="465"/>
      <c r="AC124" s="465"/>
      <c r="AD124" s="465"/>
      <c r="AE124" s="450"/>
      <c r="AF124" s="450"/>
      <c r="AG124" s="450"/>
      <c r="AH124" s="450"/>
      <c r="AI124" s="450"/>
      <c r="AJ124" s="288" t="str">
        <f>DIETY!A117</f>
        <v>Zjednoczone Emiraty Arabskie</v>
      </c>
      <c r="AK124" s="289" t="str">
        <f>DIETY!B117</f>
        <v>EURO</v>
      </c>
      <c r="AL124" s="15" t="str">
        <f t="shared" si="15"/>
        <v>EURO</v>
      </c>
    </row>
    <row r="125" spans="15:38" ht="18" customHeight="1" hidden="1">
      <c r="O125" s="479"/>
      <c r="P125" s="263"/>
      <c r="Q125" s="263"/>
      <c r="R125" s="263"/>
      <c r="S125" s="263"/>
      <c r="T125" s="224"/>
      <c r="U125" s="224"/>
      <c r="V125" s="450"/>
      <c r="W125" s="450"/>
      <c r="X125" s="450"/>
      <c r="Y125" s="450"/>
      <c r="Z125" s="450"/>
      <c r="AA125" s="450"/>
      <c r="AB125" s="450"/>
      <c r="AC125" s="450"/>
      <c r="AD125" s="450"/>
      <c r="AE125" s="450"/>
      <c r="AF125" s="450"/>
      <c r="AG125" s="450"/>
      <c r="AH125" s="450"/>
      <c r="AI125" s="450"/>
      <c r="AJ125" s="288"/>
      <c r="AK125" s="289"/>
      <c r="AL125" s="15" t="str">
        <f t="shared" si="15"/>
        <v>EURO</v>
      </c>
    </row>
    <row r="126" spans="15:38" ht="18" customHeight="1" hidden="1">
      <c r="O126" s="479"/>
      <c r="P126" s="263"/>
      <c r="Q126" s="263"/>
      <c r="R126" s="263"/>
      <c r="S126" s="263"/>
      <c r="T126" s="224"/>
      <c r="U126" s="224"/>
      <c r="V126" s="450"/>
      <c r="W126" s="450"/>
      <c r="X126" s="450"/>
      <c r="Y126" s="450"/>
      <c r="Z126" s="450"/>
      <c r="AA126" s="450"/>
      <c r="AB126" s="450"/>
      <c r="AC126" s="450"/>
      <c r="AD126" s="450"/>
      <c r="AE126" s="450"/>
      <c r="AF126" s="450"/>
      <c r="AG126" s="450"/>
      <c r="AH126" s="450"/>
      <c r="AI126" s="450"/>
      <c r="AJ126" s="288"/>
      <c r="AK126" s="289"/>
      <c r="AL126" s="15" t="str">
        <f t="shared" si="15"/>
        <v>EURO</v>
      </c>
    </row>
    <row r="127" spans="15:38" ht="18" customHeight="1" hidden="1">
      <c r="O127" s="479"/>
      <c r="P127" s="263"/>
      <c r="Q127" s="263"/>
      <c r="R127" s="263"/>
      <c r="S127" s="263"/>
      <c r="T127" s="224"/>
      <c r="U127" s="224"/>
      <c r="V127" s="450"/>
      <c r="W127" s="450"/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50"/>
      <c r="AH127" s="450"/>
      <c r="AI127" s="450"/>
      <c r="AJ127" s="450"/>
      <c r="AK127" s="450"/>
      <c r="AL127" s="467" t="str">
        <f>IF($I$22=AJ127,AK127,AL126)</f>
        <v>EURO</v>
      </c>
    </row>
    <row r="128" spans="15:37" ht="18" customHeight="1" hidden="1">
      <c r="O128" s="479"/>
      <c r="P128" s="263"/>
      <c r="Q128" s="263"/>
      <c r="R128" s="263"/>
      <c r="S128" s="263"/>
      <c r="T128" s="224"/>
      <c r="U128" s="224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450"/>
      <c r="AH128" s="450"/>
      <c r="AI128" s="450"/>
      <c r="AJ128" s="450"/>
      <c r="AK128" s="450"/>
    </row>
    <row r="129" spans="15:37" ht="18" customHeight="1" hidden="1">
      <c r="O129" s="479"/>
      <c r="P129" s="263"/>
      <c r="Q129" s="263"/>
      <c r="R129" s="263"/>
      <c r="S129" s="263"/>
      <c r="T129" s="224"/>
      <c r="U129" s="224"/>
      <c r="V129" s="450"/>
      <c r="W129" s="450"/>
      <c r="X129" s="450"/>
      <c r="Y129" s="450"/>
      <c r="Z129" s="450"/>
      <c r="AA129" s="450"/>
      <c r="AB129" s="450"/>
      <c r="AC129" s="450"/>
      <c r="AD129" s="450"/>
      <c r="AE129" s="450"/>
      <c r="AF129" s="450"/>
      <c r="AG129" s="450"/>
      <c r="AH129" s="450"/>
      <c r="AI129" s="450"/>
      <c r="AJ129" s="450"/>
      <c r="AK129" s="450"/>
    </row>
    <row r="130" spans="15:37" ht="18" customHeight="1" hidden="1">
      <c r="O130" s="479"/>
      <c r="P130" s="263"/>
      <c r="Q130" s="263"/>
      <c r="R130" s="263"/>
      <c r="S130" s="263"/>
      <c r="T130" s="224"/>
      <c r="U130" s="224"/>
      <c r="V130" s="450"/>
      <c r="W130" s="450"/>
      <c r="X130" s="450"/>
      <c r="Y130" s="450"/>
      <c r="Z130" s="450"/>
      <c r="AA130" s="450"/>
      <c r="AB130" s="450"/>
      <c r="AC130" s="450"/>
      <c r="AD130" s="450"/>
      <c r="AE130" s="450"/>
      <c r="AF130" s="450"/>
      <c r="AG130" s="450"/>
      <c r="AH130" s="450"/>
      <c r="AI130" s="450"/>
      <c r="AJ130" s="450"/>
      <c r="AK130" s="450"/>
    </row>
    <row r="131" spans="15:37" ht="18" customHeight="1" hidden="1">
      <c r="O131" s="479"/>
      <c r="P131" s="263"/>
      <c r="Q131" s="263"/>
      <c r="R131" s="263"/>
      <c r="S131" s="263"/>
      <c r="T131" s="224"/>
      <c r="U131" s="224"/>
      <c r="V131" s="450"/>
      <c r="W131" s="450"/>
      <c r="X131" s="450"/>
      <c r="Y131" s="450"/>
      <c r="Z131" s="450"/>
      <c r="AA131" s="450"/>
      <c r="AB131" s="450"/>
      <c r="AC131" s="450"/>
      <c r="AD131" s="450"/>
      <c r="AE131" s="450"/>
      <c r="AF131" s="450"/>
      <c r="AG131" s="450"/>
      <c r="AH131" s="450"/>
      <c r="AI131" s="450"/>
      <c r="AJ131" s="450"/>
      <c r="AK131" s="450"/>
    </row>
    <row r="132" spans="15:37" ht="18" customHeight="1" hidden="1">
      <c r="O132" s="479"/>
      <c r="P132" s="263"/>
      <c r="Q132" s="263"/>
      <c r="R132" s="263"/>
      <c r="S132" s="263"/>
      <c r="T132" s="224"/>
      <c r="U132" s="224"/>
      <c r="V132" s="450"/>
      <c r="W132" s="450"/>
      <c r="X132" s="450"/>
      <c r="Y132" s="450"/>
      <c r="Z132" s="450"/>
      <c r="AA132" s="450"/>
      <c r="AB132" s="450"/>
      <c r="AC132" s="450"/>
      <c r="AD132" s="450"/>
      <c r="AE132" s="450"/>
      <c r="AF132" s="450"/>
      <c r="AG132" s="450"/>
      <c r="AH132" s="450"/>
      <c r="AI132" s="450"/>
      <c r="AJ132" s="450"/>
      <c r="AK132" s="450"/>
    </row>
    <row r="133" spans="15:37" ht="18" customHeight="1" hidden="1">
      <c r="O133" s="479"/>
      <c r="P133" s="263"/>
      <c r="Q133" s="263"/>
      <c r="R133" s="263"/>
      <c r="S133" s="263"/>
      <c r="T133" s="224"/>
      <c r="U133" s="224"/>
      <c r="V133" s="450"/>
      <c r="W133" s="450"/>
      <c r="X133" s="450"/>
      <c r="Y133" s="450"/>
      <c r="Z133" s="450"/>
      <c r="AA133" s="450"/>
      <c r="AB133" s="450"/>
      <c r="AC133" s="450"/>
      <c r="AD133" s="450"/>
      <c r="AE133" s="450"/>
      <c r="AF133" s="450"/>
      <c r="AG133" s="450"/>
      <c r="AH133" s="450"/>
      <c r="AI133" s="450"/>
      <c r="AJ133" s="450"/>
      <c r="AK133" s="450"/>
    </row>
    <row r="134" spans="15:37" ht="18" customHeight="1" hidden="1">
      <c r="O134" s="479"/>
      <c r="P134" s="263"/>
      <c r="Q134" s="263"/>
      <c r="R134" s="263"/>
      <c r="S134" s="263"/>
      <c r="T134" s="224"/>
      <c r="U134" s="224"/>
      <c r="V134" s="450"/>
      <c r="W134" s="450"/>
      <c r="X134" s="450"/>
      <c r="Y134" s="450"/>
      <c r="Z134" s="450"/>
      <c r="AA134" s="450"/>
      <c r="AB134" s="450"/>
      <c r="AC134" s="450"/>
      <c r="AD134" s="450"/>
      <c r="AE134" s="450"/>
      <c r="AF134" s="450"/>
      <c r="AG134" s="450"/>
      <c r="AH134" s="450"/>
      <c r="AI134" s="450"/>
      <c r="AJ134" s="450"/>
      <c r="AK134" s="450"/>
    </row>
    <row r="135" spans="15:37" ht="18" customHeight="1" hidden="1">
      <c r="O135" s="479"/>
      <c r="P135" s="263"/>
      <c r="Q135" s="263"/>
      <c r="R135" s="263"/>
      <c r="S135" s="263"/>
      <c r="T135" s="224"/>
      <c r="U135" s="224"/>
      <c r="V135" s="450"/>
      <c r="W135" s="450"/>
      <c r="X135" s="450"/>
      <c r="Y135" s="450"/>
      <c r="Z135" s="450"/>
      <c r="AA135" s="450"/>
      <c r="AB135" s="450"/>
      <c r="AC135" s="450"/>
      <c r="AD135" s="450"/>
      <c r="AE135" s="450"/>
      <c r="AF135" s="450"/>
      <c r="AG135" s="450"/>
      <c r="AH135" s="450"/>
      <c r="AI135" s="450"/>
      <c r="AJ135" s="450"/>
      <c r="AK135" s="450"/>
    </row>
    <row r="136" spans="15:37" ht="18" customHeight="1" hidden="1">
      <c r="O136" s="479"/>
      <c r="P136" s="263"/>
      <c r="Q136" s="263"/>
      <c r="R136" s="263"/>
      <c r="S136" s="263"/>
      <c r="T136" s="224"/>
      <c r="U136" s="224"/>
      <c r="V136" s="450"/>
      <c r="W136" s="450"/>
      <c r="X136" s="450"/>
      <c r="Y136" s="450"/>
      <c r="Z136" s="450"/>
      <c r="AA136" s="450"/>
      <c r="AB136" s="450"/>
      <c r="AC136" s="450"/>
      <c r="AD136" s="450"/>
      <c r="AE136" s="450"/>
      <c r="AF136" s="450"/>
      <c r="AG136" s="450"/>
      <c r="AH136" s="450"/>
      <c r="AI136" s="450"/>
      <c r="AJ136" s="450"/>
      <c r="AK136" s="450"/>
    </row>
    <row r="137" spans="15:37" ht="18" customHeight="1" hidden="1">
      <c r="O137" s="479"/>
      <c r="P137" s="263"/>
      <c r="Q137" s="263"/>
      <c r="R137" s="263"/>
      <c r="S137" s="263"/>
      <c r="T137" s="224"/>
      <c r="U137" s="224"/>
      <c r="V137" s="450"/>
      <c r="W137" s="450"/>
      <c r="X137" s="450"/>
      <c r="Y137" s="450"/>
      <c r="Z137" s="450"/>
      <c r="AA137" s="450"/>
      <c r="AB137" s="450"/>
      <c r="AC137" s="450"/>
      <c r="AD137" s="450"/>
      <c r="AE137" s="450"/>
      <c r="AF137" s="450"/>
      <c r="AG137" s="450"/>
      <c r="AH137" s="450"/>
      <c r="AI137" s="450"/>
      <c r="AJ137" s="450"/>
      <c r="AK137" s="450"/>
    </row>
    <row r="138" spans="15:37" ht="18" customHeight="1" hidden="1">
      <c r="O138" s="479"/>
      <c r="P138" s="263"/>
      <c r="Q138" s="484" t="e">
        <f>SUM(#REF!)</f>
        <v>#REF!</v>
      </c>
      <c r="R138" s="263"/>
      <c r="S138" s="263"/>
      <c r="T138" s="224"/>
      <c r="U138" s="224"/>
      <c r="V138" s="450"/>
      <c r="W138" s="450"/>
      <c r="X138" s="450"/>
      <c r="Y138" s="450"/>
      <c r="Z138" s="450"/>
      <c r="AA138" s="450"/>
      <c r="AB138" s="450"/>
      <c r="AC138" s="450"/>
      <c r="AD138" s="450"/>
      <c r="AE138" s="450"/>
      <c r="AF138" s="450"/>
      <c r="AG138" s="450"/>
      <c r="AH138" s="450"/>
      <c r="AI138" s="450"/>
      <c r="AJ138" s="450"/>
      <c r="AK138" s="450"/>
    </row>
    <row r="139" spans="15:37" ht="18" customHeight="1" hidden="1">
      <c r="O139" s="479"/>
      <c r="P139" s="263"/>
      <c r="Q139" s="263"/>
      <c r="R139" s="263"/>
      <c r="S139" s="263"/>
      <c r="T139" s="224"/>
      <c r="U139" s="224"/>
      <c r="V139" s="450"/>
      <c r="W139" s="450"/>
      <c r="X139" s="450"/>
      <c r="Y139" s="450"/>
      <c r="Z139" s="450"/>
      <c r="AA139" s="450"/>
      <c r="AB139" s="450"/>
      <c r="AC139" s="450"/>
      <c r="AD139" s="450"/>
      <c r="AE139" s="450"/>
      <c r="AF139" s="450"/>
      <c r="AG139" s="450"/>
      <c r="AH139" s="450"/>
      <c r="AI139" s="450"/>
      <c r="AJ139" s="450"/>
      <c r="AK139" s="450"/>
    </row>
    <row r="140" spans="15:37" ht="18" customHeight="1" hidden="1">
      <c r="O140" s="479"/>
      <c r="P140" s="263"/>
      <c r="Q140" s="263"/>
      <c r="R140" s="263"/>
      <c r="S140" s="263"/>
      <c r="T140" s="224"/>
      <c r="U140" s="224"/>
      <c r="V140" s="450"/>
      <c r="W140" s="450"/>
      <c r="X140" s="450"/>
      <c r="Y140" s="450"/>
      <c r="Z140" s="450"/>
      <c r="AA140" s="450"/>
      <c r="AB140" s="450"/>
      <c r="AC140" s="450"/>
      <c r="AD140" s="450"/>
      <c r="AE140" s="450"/>
      <c r="AF140" s="450"/>
      <c r="AG140" s="450"/>
      <c r="AH140" s="450"/>
      <c r="AI140" s="450"/>
      <c r="AJ140" s="450"/>
      <c r="AK140" s="450"/>
    </row>
    <row r="141" spans="15:37" ht="18" customHeight="1" hidden="1">
      <c r="O141" s="479"/>
      <c r="P141" s="263"/>
      <c r="Q141" s="263"/>
      <c r="R141" s="263"/>
      <c r="S141" s="263"/>
      <c r="T141" s="224"/>
      <c r="U141" s="224"/>
      <c r="V141" s="450"/>
      <c r="W141" s="450"/>
      <c r="X141" s="450"/>
      <c r="Y141" s="450"/>
      <c r="Z141" s="450"/>
      <c r="AA141" s="450"/>
      <c r="AB141" s="450"/>
      <c r="AC141" s="450"/>
      <c r="AD141" s="450"/>
      <c r="AE141" s="450"/>
      <c r="AF141" s="450"/>
      <c r="AG141" s="450"/>
      <c r="AH141" s="450"/>
      <c r="AI141" s="450"/>
      <c r="AJ141" s="450"/>
      <c r="AK141" s="450"/>
    </row>
    <row r="142" spans="15:37" ht="18" customHeight="1" hidden="1">
      <c r="O142" s="479"/>
      <c r="P142" s="263"/>
      <c r="Q142" s="263"/>
      <c r="R142" s="263"/>
      <c r="S142" s="263"/>
      <c r="T142" s="224"/>
      <c r="U142" s="224"/>
      <c r="V142" s="450"/>
      <c r="W142" s="450"/>
      <c r="X142" s="450"/>
      <c r="Y142" s="450"/>
      <c r="Z142" s="450"/>
      <c r="AA142" s="450"/>
      <c r="AB142" s="450"/>
      <c r="AC142" s="450"/>
      <c r="AD142" s="450"/>
      <c r="AE142" s="450"/>
      <c r="AF142" s="450"/>
      <c r="AG142" s="450"/>
      <c r="AH142" s="450"/>
      <c r="AI142" s="450"/>
      <c r="AJ142" s="450"/>
      <c r="AK142" s="450"/>
    </row>
    <row r="143" spans="15:37" ht="18" customHeight="1" hidden="1">
      <c r="O143" s="479"/>
      <c r="P143" s="263"/>
      <c r="Q143" s="263"/>
      <c r="R143" s="263"/>
      <c r="S143" s="263"/>
      <c r="T143" s="224"/>
      <c r="U143" s="224"/>
      <c r="V143" s="450"/>
      <c r="W143" s="450"/>
      <c r="X143" s="450"/>
      <c r="Y143" s="450"/>
      <c r="Z143" s="450"/>
      <c r="AA143" s="450"/>
      <c r="AB143" s="450"/>
      <c r="AC143" s="450"/>
      <c r="AD143" s="450"/>
      <c r="AE143" s="450"/>
      <c r="AF143" s="450"/>
      <c r="AG143" s="450"/>
      <c r="AH143" s="450"/>
      <c r="AI143" s="450"/>
      <c r="AJ143" s="450"/>
      <c r="AK143" s="450"/>
    </row>
    <row r="144" spans="15:37" ht="18" customHeight="1" hidden="1">
      <c r="O144" s="479"/>
      <c r="P144" s="263"/>
      <c r="Q144" s="263"/>
      <c r="R144" s="263"/>
      <c r="S144" s="263"/>
      <c r="T144" s="224"/>
      <c r="U144" s="224"/>
      <c r="V144" s="450"/>
      <c r="W144" s="450"/>
      <c r="X144" s="450"/>
      <c r="Y144" s="450"/>
      <c r="Z144" s="450"/>
      <c r="AA144" s="450"/>
      <c r="AB144" s="450"/>
      <c r="AC144" s="450"/>
      <c r="AD144" s="450"/>
      <c r="AE144" s="450"/>
      <c r="AF144" s="450"/>
      <c r="AG144" s="450"/>
      <c r="AH144" s="450"/>
      <c r="AI144" s="450"/>
      <c r="AJ144" s="450"/>
      <c r="AK144" s="450"/>
    </row>
    <row r="145" spans="15:37" ht="18" customHeight="1" hidden="1">
      <c r="O145" s="479"/>
      <c r="P145" s="263"/>
      <c r="Q145" s="263"/>
      <c r="R145" s="263"/>
      <c r="S145" s="263"/>
      <c r="T145" s="224"/>
      <c r="U145" s="224"/>
      <c r="V145" s="450"/>
      <c r="W145" s="450"/>
      <c r="X145" s="450"/>
      <c r="Y145" s="450"/>
      <c r="Z145" s="450"/>
      <c r="AA145" s="450"/>
      <c r="AB145" s="450"/>
      <c r="AC145" s="450"/>
      <c r="AD145" s="450"/>
      <c r="AE145" s="450"/>
      <c r="AF145" s="450"/>
      <c r="AG145" s="450"/>
      <c r="AH145" s="450"/>
      <c r="AI145" s="450"/>
      <c r="AJ145" s="450"/>
      <c r="AK145" s="450"/>
    </row>
    <row r="146" spans="15:37" ht="18" customHeight="1" hidden="1">
      <c r="O146" s="479"/>
      <c r="P146" s="263"/>
      <c r="Q146" s="263"/>
      <c r="R146" s="263"/>
      <c r="S146" s="263"/>
      <c r="T146" s="224"/>
      <c r="U146" s="224"/>
      <c r="V146" s="450"/>
      <c r="W146" s="450"/>
      <c r="X146" s="450"/>
      <c r="Y146" s="450"/>
      <c r="Z146" s="450"/>
      <c r="AA146" s="450"/>
      <c r="AB146" s="450"/>
      <c r="AC146" s="450"/>
      <c r="AD146" s="450"/>
      <c r="AE146" s="450"/>
      <c r="AF146" s="450"/>
      <c r="AG146" s="450"/>
      <c r="AH146" s="450"/>
      <c r="AI146" s="450"/>
      <c r="AJ146" s="450"/>
      <c r="AK146" s="450"/>
    </row>
    <row r="147" spans="15:37" ht="18" customHeight="1" hidden="1">
      <c r="O147" s="479"/>
      <c r="P147" s="263"/>
      <c r="Q147" s="263"/>
      <c r="R147" s="263"/>
      <c r="S147" s="263"/>
      <c r="T147" s="224"/>
      <c r="U147" s="224"/>
      <c r="V147" s="450"/>
      <c r="W147" s="450"/>
      <c r="X147" s="450"/>
      <c r="Y147" s="450"/>
      <c r="Z147" s="450"/>
      <c r="AA147" s="450"/>
      <c r="AB147" s="450"/>
      <c r="AC147" s="450"/>
      <c r="AD147" s="450"/>
      <c r="AE147" s="450"/>
      <c r="AF147" s="450"/>
      <c r="AG147" s="450"/>
      <c r="AH147" s="450"/>
      <c r="AI147" s="450"/>
      <c r="AJ147" s="450"/>
      <c r="AK147" s="450"/>
    </row>
    <row r="148" spans="15:37" ht="18" customHeight="1" hidden="1">
      <c r="O148" s="479"/>
      <c r="P148" s="263"/>
      <c r="Q148" s="263"/>
      <c r="R148" s="263"/>
      <c r="S148" s="263"/>
      <c r="T148" s="224"/>
      <c r="U148" s="224"/>
      <c r="V148" s="450"/>
      <c r="W148" s="450"/>
      <c r="X148" s="450"/>
      <c r="Y148" s="450"/>
      <c r="Z148" s="450"/>
      <c r="AA148" s="450"/>
      <c r="AB148" s="450"/>
      <c r="AC148" s="450"/>
      <c r="AD148" s="450"/>
      <c r="AE148" s="450"/>
      <c r="AF148" s="450"/>
      <c r="AG148" s="450"/>
      <c r="AH148" s="450"/>
      <c r="AI148" s="450"/>
      <c r="AJ148" s="450"/>
      <c r="AK148" s="450"/>
    </row>
    <row r="149" spans="15:37" ht="18" customHeight="1" hidden="1">
      <c r="O149" s="479"/>
      <c r="P149" s="263"/>
      <c r="Q149" s="263"/>
      <c r="R149" s="263"/>
      <c r="S149" s="263"/>
      <c r="T149" s="224"/>
      <c r="U149" s="224"/>
      <c r="V149" s="450"/>
      <c r="W149" s="450"/>
      <c r="X149" s="450"/>
      <c r="Y149" s="450"/>
      <c r="Z149" s="450"/>
      <c r="AA149" s="450"/>
      <c r="AB149" s="450"/>
      <c r="AC149" s="450"/>
      <c r="AD149" s="450"/>
      <c r="AE149" s="450"/>
      <c r="AF149" s="450"/>
      <c r="AG149" s="450"/>
      <c r="AH149" s="450"/>
      <c r="AI149" s="450"/>
      <c r="AJ149" s="450"/>
      <c r="AK149" s="450"/>
    </row>
    <row r="150" spans="15:37" ht="18" customHeight="1" hidden="1">
      <c r="O150" s="479"/>
      <c r="P150" s="263"/>
      <c r="Q150" s="263"/>
      <c r="R150" s="263"/>
      <c r="S150" s="263"/>
      <c r="T150" s="224"/>
      <c r="U150" s="224"/>
      <c r="V150" s="450"/>
      <c r="W150" s="450"/>
      <c r="X150" s="450"/>
      <c r="Y150" s="450"/>
      <c r="Z150" s="450"/>
      <c r="AA150" s="450"/>
      <c r="AB150" s="450"/>
      <c r="AC150" s="450"/>
      <c r="AD150" s="450"/>
      <c r="AE150" s="450"/>
      <c r="AF150" s="450"/>
      <c r="AG150" s="450"/>
      <c r="AH150" s="450"/>
      <c r="AI150" s="450"/>
      <c r="AJ150" s="450"/>
      <c r="AK150" s="450"/>
    </row>
    <row r="151" spans="15:37" ht="18" customHeight="1" hidden="1">
      <c r="O151" s="479"/>
      <c r="P151" s="263"/>
      <c r="Q151" s="263"/>
      <c r="R151" s="263"/>
      <c r="S151" s="263"/>
      <c r="T151" s="224"/>
      <c r="U151" s="224"/>
      <c r="V151" s="450"/>
      <c r="W151" s="450"/>
      <c r="X151" s="450"/>
      <c r="Y151" s="450"/>
      <c r="Z151" s="450"/>
      <c r="AA151" s="450"/>
      <c r="AB151" s="450"/>
      <c r="AC151" s="450"/>
      <c r="AD151" s="450"/>
      <c r="AE151" s="450"/>
      <c r="AF151" s="450"/>
      <c r="AG151" s="450"/>
      <c r="AH151" s="450"/>
      <c r="AI151" s="450"/>
      <c r="AJ151" s="450"/>
      <c r="AK151" s="450"/>
    </row>
    <row r="152" spans="15:37" ht="18" customHeight="1" hidden="1">
      <c r="O152" s="479"/>
      <c r="P152" s="263"/>
      <c r="Q152" s="263"/>
      <c r="R152" s="263"/>
      <c r="S152" s="263"/>
      <c r="T152" s="224"/>
      <c r="U152" s="224"/>
      <c r="V152" s="450"/>
      <c r="W152" s="450"/>
      <c r="X152" s="450"/>
      <c r="Y152" s="450"/>
      <c r="Z152" s="450"/>
      <c r="AA152" s="450"/>
      <c r="AB152" s="450"/>
      <c r="AC152" s="450"/>
      <c r="AD152" s="450"/>
      <c r="AE152" s="450"/>
      <c r="AF152" s="450"/>
      <c r="AG152" s="450"/>
      <c r="AH152" s="450"/>
      <c r="AI152" s="450"/>
      <c r="AJ152" s="450"/>
      <c r="AK152" s="450"/>
    </row>
    <row r="153" spans="15:37" ht="18" customHeight="1" hidden="1">
      <c r="O153" s="479"/>
      <c r="P153" s="263"/>
      <c r="Q153" s="263"/>
      <c r="R153" s="263"/>
      <c r="S153" s="263"/>
      <c r="T153" s="224"/>
      <c r="U153" s="224"/>
      <c r="V153" s="450"/>
      <c r="W153" s="450"/>
      <c r="X153" s="450"/>
      <c r="Y153" s="450"/>
      <c r="Z153" s="450"/>
      <c r="AA153" s="450"/>
      <c r="AB153" s="450"/>
      <c r="AC153" s="450"/>
      <c r="AD153" s="450"/>
      <c r="AE153" s="450"/>
      <c r="AF153" s="450"/>
      <c r="AG153" s="450"/>
      <c r="AH153" s="450"/>
      <c r="AI153" s="450"/>
      <c r="AJ153" s="450"/>
      <c r="AK153" s="450"/>
    </row>
    <row r="154" spans="15:37" ht="18" customHeight="1" hidden="1">
      <c r="O154" s="479"/>
      <c r="P154" s="263"/>
      <c r="Q154" s="263"/>
      <c r="R154" s="263"/>
      <c r="S154" s="263"/>
      <c r="T154" s="224"/>
      <c r="U154" s="224"/>
      <c r="V154" s="450"/>
      <c r="W154" s="450"/>
      <c r="X154" s="450"/>
      <c r="Y154" s="450"/>
      <c r="Z154" s="450"/>
      <c r="AA154" s="450"/>
      <c r="AB154" s="450"/>
      <c r="AC154" s="450"/>
      <c r="AD154" s="450"/>
      <c r="AE154" s="450"/>
      <c r="AF154" s="450"/>
      <c r="AG154" s="450"/>
      <c r="AH154" s="450"/>
      <c r="AI154" s="450"/>
      <c r="AJ154" s="450"/>
      <c r="AK154" s="450"/>
    </row>
    <row r="155" spans="20:37" ht="18" customHeight="1" hidden="1">
      <c r="T155" s="450"/>
      <c r="U155" s="450"/>
      <c r="V155" s="450"/>
      <c r="W155" s="450"/>
      <c r="X155" s="450"/>
      <c r="Y155" s="450"/>
      <c r="Z155" s="450"/>
      <c r="AA155" s="450"/>
      <c r="AB155" s="450"/>
      <c r="AC155" s="450"/>
      <c r="AD155" s="450"/>
      <c r="AE155" s="450"/>
      <c r="AF155" s="450"/>
      <c r="AG155" s="450"/>
      <c r="AH155" s="450"/>
      <c r="AI155" s="450"/>
      <c r="AJ155" s="450"/>
      <c r="AK155" s="450"/>
    </row>
    <row r="156" spans="20:37" ht="18" customHeight="1" hidden="1">
      <c r="T156" s="450"/>
      <c r="U156" s="450"/>
      <c r="V156" s="450"/>
      <c r="W156" s="450"/>
      <c r="X156" s="450"/>
      <c r="Y156" s="450"/>
      <c r="Z156" s="450"/>
      <c r="AA156" s="450"/>
      <c r="AB156" s="450"/>
      <c r="AC156" s="450"/>
      <c r="AD156" s="450"/>
      <c r="AE156" s="450"/>
      <c r="AF156" s="450"/>
      <c r="AG156" s="450"/>
      <c r="AH156" s="450"/>
      <c r="AI156" s="450"/>
      <c r="AJ156" s="450"/>
      <c r="AK156" s="450"/>
    </row>
    <row r="157" spans="20:37" ht="18" customHeight="1" hidden="1">
      <c r="T157" s="450"/>
      <c r="U157" s="450"/>
      <c r="V157" s="450"/>
      <c r="W157" s="450"/>
      <c r="X157" s="450"/>
      <c r="Y157" s="450"/>
      <c r="Z157" s="450"/>
      <c r="AA157" s="450"/>
      <c r="AB157" s="450"/>
      <c r="AC157" s="450"/>
      <c r="AD157" s="450"/>
      <c r="AE157" s="450"/>
      <c r="AF157" s="450"/>
      <c r="AG157" s="450"/>
      <c r="AH157" s="450"/>
      <c r="AI157" s="450"/>
      <c r="AJ157" s="450"/>
      <c r="AK157" s="450"/>
    </row>
    <row r="158" spans="20:37" ht="18" customHeight="1" hidden="1">
      <c r="T158" s="450"/>
      <c r="U158" s="450"/>
      <c r="V158" s="450"/>
      <c r="W158" s="450"/>
      <c r="X158" s="450"/>
      <c r="Y158" s="450"/>
      <c r="Z158" s="450"/>
      <c r="AA158" s="450"/>
      <c r="AB158" s="450"/>
      <c r="AC158" s="450"/>
      <c r="AD158" s="450"/>
      <c r="AE158" s="450"/>
      <c r="AF158" s="450"/>
      <c r="AG158" s="450"/>
      <c r="AH158" s="450"/>
      <c r="AI158" s="450"/>
      <c r="AJ158" s="450"/>
      <c r="AK158" s="450"/>
    </row>
    <row r="159" spans="20:37" ht="18" customHeight="1" hidden="1">
      <c r="T159" s="450"/>
      <c r="U159" s="450"/>
      <c r="V159" s="450"/>
      <c r="W159" s="450"/>
      <c r="X159" s="450"/>
      <c r="Y159" s="450"/>
      <c r="Z159" s="450"/>
      <c r="AA159" s="450"/>
      <c r="AB159" s="450"/>
      <c r="AC159" s="450"/>
      <c r="AD159" s="450"/>
      <c r="AE159" s="450"/>
      <c r="AF159" s="450"/>
      <c r="AG159" s="450"/>
      <c r="AH159" s="450"/>
      <c r="AI159" s="450"/>
      <c r="AJ159" s="450"/>
      <c r="AK159" s="450"/>
    </row>
    <row r="160" spans="20:37" ht="18" customHeight="1" hidden="1">
      <c r="T160" s="450"/>
      <c r="U160" s="450"/>
      <c r="V160" s="450"/>
      <c r="W160" s="450"/>
      <c r="X160" s="450"/>
      <c r="Y160" s="450"/>
      <c r="Z160" s="450"/>
      <c r="AA160" s="450"/>
      <c r="AB160" s="450"/>
      <c r="AC160" s="450"/>
      <c r="AD160" s="450"/>
      <c r="AE160" s="450"/>
      <c r="AF160" s="450"/>
      <c r="AG160" s="450"/>
      <c r="AH160" s="450"/>
      <c r="AI160" s="450"/>
      <c r="AJ160" s="450"/>
      <c r="AK160" s="450"/>
    </row>
    <row r="161" spans="20:37" ht="18" customHeight="1" hidden="1">
      <c r="T161" s="450"/>
      <c r="U161" s="450"/>
      <c r="V161" s="450"/>
      <c r="W161" s="450"/>
      <c r="X161" s="450"/>
      <c r="Y161" s="450"/>
      <c r="Z161" s="450"/>
      <c r="AA161" s="450"/>
      <c r="AB161" s="450"/>
      <c r="AC161" s="450"/>
      <c r="AD161" s="450"/>
      <c r="AE161" s="450"/>
      <c r="AF161" s="450"/>
      <c r="AG161" s="450"/>
      <c r="AH161" s="450"/>
      <c r="AI161" s="450"/>
      <c r="AJ161" s="450"/>
      <c r="AK161" s="450"/>
    </row>
    <row r="162" spans="20:37" ht="18" customHeight="1" hidden="1">
      <c r="T162" s="450"/>
      <c r="U162" s="450"/>
      <c r="V162" s="450"/>
      <c r="W162" s="450"/>
      <c r="X162" s="450"/>
      <c r="Y162" s="450"/>
      <c r="Z162" s="450"/>
      <c r="AA162" s="450"/>
      <c r="AB162" s="450"/>
      <c r="AC162" s="450"/>
      <c r="AD162" s="450"/>
      <c r="AE162" s="450"/>
      <c r="AF162" s="450"/>
      <c r="AG162" s="450"/>
      <c r="AH162" s="450"/>
      <c r="AI162" s="450"/>
      <c r="AJ162" s="450"/>
      <c r="AK162" s="450"/>
    </row>
    <row r="163" spans="20:37" ht="18" customHeight="1" hidden="1">
      <c r="T163" s="450"/>
      <c r="U163" s="450"/>
      <c r="V163" s="450"/>
      <c r="W163" s="450"/>
      <c r="X163" s="450"/>
      <c r="Y163" s="450"/>
      <c r="Z163" s="450"/>
      <c r="AA163" s="450"/>
      <c r="AB163" s="450"/>
      <c r="AC163" s="450"/>
      <c r="AD163" s="450"/>
      <c r="AE163" s="450"/>
      <c r="AF163" s="450"/>
      <c r="AG163" s="450"/>
      <c r="AH163" s="450"/>
      <c r="AI163" s="450"/>
      <c r="AJ163" s="450"/>
      <c r="AK163" s="450"/>
    </row>
    <row r="164" spans="20:37" ht="18" customHeight="1" hidden="1">
      <c r="T164" s="450"/>
      <c r="U164" s="450"/>
      <c r="V164" s="450"/>
      <c r="W164" s="450"/>
      <c r="X164" s="450"/>
      <c r="Y164" s="450"/>
      <c r="Z164" s="450"/>
      <c r="AA164" s="450"/>
      <c r="AB164" s="450"/>
      <c r="AC164" s="450"/>
      <c r="AD164" s="450"/>
      <c r="AE164" s="450"/>
      <c r="AF164" s="450"/>
      <c r="AG164" s="450"/>
      <c r="AH164" s="450"/>
      <c r="AI164" s="450"/>
      <c r="AJ164" s="450"/>
      <c r="AK164" s="450"/>
    </row>
    <row r="165" spans="20:37" ht="18" customHeight="1" hidden="1">
      <c r="T165" s="450"/>
      <c r="U165" s="450"/>
      <c r="V165" s="450"/>
      <c r="W165" s="450"/>
      <c r="X165" s="450"/>
      <c r="Y165" s="450"/>
      <c r="Z165" s="450"/>
      <c r="AA165" s="450"/>
      <c r="AB165" s="450"/>
      <c r="AC165" s="450"/>
      <c r="AD165" s="450"/>
      <c r="AE165" s="450"/>
      <c r="AF165" s="450"/>
      <c r="AG165" s="450"/>
      <c r="AH165" s="450"/>
      <c r="AI165" s="450"/>
      <c r="AJ165" s="450"/>
      <c r="AK165" s="450"/>
    </row>
    <row r="166" spans="20:37" ht="18" customHeight="1" hidden="1">
      <c r="T166" s="450"/>
      <c r="U166" s="450"/>
      <c r="V166" s="450"/>
      <c r="W166" s="450"/>
      <c r="X166" s="450"/>
      <c r="Y166" s="450"/>
      <c r="Z166" s="450"/>
      <c r="AA166" s="450"/>
      <c r="AB166" s="450"/>
      <c r="AC166" s="450"/>
      <c r="AD166" s="450"/>
      <c r="AE166" s="450"/>
      <c r="AF166" s="450"/>
      <c r="AG166" s="450"/>
      <c r="AH166" s="450"/>
      <c r="AI166" s="450"/>
      <c r="AJ166" s="450"/>
      <c r="AK166" s="450"/>
    </row>
    <row r="167" spans="20:37" ht="18" customHeight="1" hidden="1">
      <c r="T167" s="450"/>
      <c r="U167" s="450"/>
      <c r="V167" s="450"/>
      <c r="W167" s="450"/>
      <c r="X167" s="450"/>
      <c r="Y167" s="450"/>
      <c r="Z167" s="450"/>
      <c r="AA167" s="450"/>
      <c r="AB167" s="450"/>
      <c r="AC167" s="450"/>
      <c r="AD167" s="450"/>
      <c r="AE167" s="450"/>
      <c r="AF167" s="450"/>
      <c r="AG167" s="450"/>
      <c r="AH167" s="450"/>
      <c r="AI167" s="450"/>
      <c r="AJ167" s="450"/>
      <c r="AK167" s="450"/>
    </row>
    <row r="168" spans="20:37" ht="18" customHeight="1" hidden="1">
      <c r="T168" s="450"/>
      <c r="U168" s="450"/>
      <c r="V168" s="450"/>
      <c r="W168" s="450"/>
      <c r="X168" s="450"/>
      <c r="Y168" s="450"/>
      <c r="Z168" s="450"/>
      <c r="AA168" s="450"/>
      <c r="AB168" s="450"/>
      <c r="AC168" s="450"/>
      <c r="AD168" s="450"/>
      <c r="AE168" s="450"/>
      <c r="AF168" s="450"/>
      <c r="AG168" s="450"/>
      <c r="AH168" s="450"/>
      <c r="AI168" s="450"/>
      <c r="AJ168" s="450"/>
      <c r="AK168" s="450"/>
    </row>
    <row r="169" spans="20:37" ht="18" customHeight="1" hidden="1">
      <c r="T169" s="450"/>
      <c r="U169" s="450"/>
      <c r="V169" s="450"/>
      <c r="W169" s="450"/>
      <c r="X169" s="450"/>
      <c r="Y169" s="450"/>
      <c r="Z169" s="450"/>
      <c r="AA169" s="450"/>
      <c r="AB169" s="450"/>
      <c r="AC169" s="450"/>
      <c r="AD169" s="450"/>
      <c r="AE169" s="450"/>
      <c r="AF169" s="450"/>
      <c r="AG169" s="450"/>
      <c r="AH169" s="450"/>
      <c r="AI169" s="450"/>
      <c r="AJ169" s="450"/>
      <c r="AK169" s="450"/>
    </row>
    <row r="170" spans="20:37" ht="18" customHeight="1" hidden="1">
      <c r="T170" s="450"/>
      <c r="U170" s="450"/>
      <c r="V170" s="450"/>
      <c r="W170" s="450"/>
      <c r="X170" s="450"/>
      <c r="Y170" s="450"/>
      <c r="Z170" s="450"/>
      <c r="AA170" s="450"/>
      <c r="AB170" s="450"/>
      <c r="AC170" s="450"/>
      <c r="AD170" s="450"/>
      <c r="AE170" s="450"/>
      <c r="AF170" s="450"/>
      <c r="AG170" s="450"/>
      <c r="AH170" s="450"/>
      <c r="AI170" s="450"/>
      <c r="AJ170" s="450"/>
      <c r="AK170" s="450"/>
    </row>
    <row r="171" spans="20:37" ht="18" customHeight="1" hidden="1">
      <c r="T171" s="450"/>
      <c r="U171" s="450"/>
      <c r="V171" s="450"/>
      <c r="W171" s="450"/>
      <c r="X171" s="450"/>
      <c r="Y171" s="450"/>
      <c r="Z171" s="450"/>
      <c r="AA171" s="450"/>
      <c r="AB171" s="450"/>
      <c r="AC171" s="450"/>
      <c r="AD171" s="450"/>
      <c r="AE171" s="450"/>
      <c r="AF171" s="450"/>
      <c r="AG171" s="450"/>
      <c r="AH171" s="450"/>
      <c r="AI171" s="450"/>
      <c r="AJ171" s="450"/>
      <c r="AK171" s="450"/>
    </row>
    <row r="172" spans="20:37" ht="18" customHeight="1" hidden="1">
      <c r="T172" s="450"/>
      <c r="U172" s="450"/>
      <c r="V172" s="450"/>
      <c r="W172" s="450"/>
      <c r="X172" s="450"/>
      <c r="Y172" s="450"/>
      <c r="Z172" s="450"/>
      <c r="AA172" s="450"/>
      <c r="AB172" s="450"/>
      <c r="AC172" s="450"/>
      <c r="AD172" s="450"/>
      <c r="AE172" s="450"/>
      <c r="AF172" s="450"/>
      <c r="AG172" s="450"/>
      <c r="AH172" s="450"/>
      <c r="AI172" s="450"/>
      <c r="AJ172" s="450"/>
      <c r="AK172" s="450"/>
    </row>
    <row r="173" spans="20:37" ht="18" customHeight="1" hidden="1">
      <c r="T173" s="450"/>
      <c r="U173" s="450"/>
      <c r="V173" s="450"/>
      <c r="W173" s="450"/>
      <c r="X173" s="450"/>
      <c r="Y173" s="450"/>
      <c r="Z173" s="450"/>
      <c r="AA173" s="450"/>
      <c r="AB173" s="450"/>
      <c r="AC173" s="450"/>
      <c r="AD173" s="450"/>
      <c r="AE173" s="450"/>
      <c r="AF173" s="450"/>
      <c r="AG173" s="450"/>
      <c r="AH173" s="450"/>
      <c r="AI173" s="450"/>
      <c r="AJ173" s="450"/>
      <c r="AK173" s="450"/>
    </row>
    <row r="174" spans="20:37" ht="18" customHeight="1" hidden="1">
      <c r="T174" s="450"/>
      <c r="U174" s="450"/>
      <c r="V174" s="450"/>
      <c r="W174" s="450"/>
      <c r="X174" s="450"/>
      <c r="Y174" s="450"/>
      <c r="Z174" s="450"/>
      <c r="AA174" s="450"/>
      <c r="AB174" s="450"/>
      <c r="AC174" s="450"/>
      <c r="AD174" s="450"/>
      <c r="AE174" s="450"/>
      <c r="AF174" s="450"/>
      <c r="AG174" s="450"/>
      <c r="AH174" s="450"/>
      <c r="AI174" s="450"/>
      <c r="AJ174" s="450"/>
      <c r="AK174" s="450"/>
    </row>
    <row r="175" spans="20:37" ht="18" customHeight="1" hidden="1">
      <c r="T175" s="450"/>
      <c r="U175" s="450"/>
      <c r="V175" s="450"/>
      <c r="W175" s="450"/>
      <c r="X175" s="450"/>
      <c r="Y175" s="450"/>
      <c r="Z175" s="450"/>
      <c r="AA175" s="450"/>
      <c r="AB175" s="450"/>
      <c r="AC175" s="450"/>
      <c r="AD175" s="450"/>
      <c r="AE175" s="450"/>
      <c r="AF175" s="450"/>
      <c r="AG175" s="450"/>
      <c r="AH175" s="450"/>
      <c r="AI175" s="450"/>
      <c r="AJ175" s="450"/>
      <c r="AK175" s="450"/>
    </row>
    <row r="176" spans="20:37" ht="18" customHeight="1" hidden="1">
      <c r="T176" s="450"/>
      <c r="U176" s="450"/>
      <c r="V176" s="450"/>
      <c r="W176" s="450"/>
      <c r="X176" s="450"/>
      <c r="Y176" s="450"/>
      <c r="Z176" s="450"/>
      <c r="AA176" s="450"/>
      <c r="AB176" s="450"/>
      <c r="AC176" s="450"/>
      <c r="AD176" s="450"/>
      <c r="AE176" s="450"/>
      <c r="AF176" s="450"/>
      <c r="AG176" s="450"/>
      <c r="AH176" s="450"/>
      <c r="AI176" s="450"/>
      <c r="AJ176" s="450"/>
      <c r="AK176" s="450"/>
    </row>
    <row r="177" spans="20:37" ht="18" customHeight="1" hidden="1">
      <c r="T177" s="450"/>
      <c r="U177" s="450"/>
      <c r="V177" s="450"/>
      <c r="W177" s="450"/>
      <c r="X177" s="450"/>
      <c r="Y177" s="450"/>
      <c r="Z177" s="450"/>
      <c r="AA177" s="450"/>
      <c r="AB177" s="450"/>
      <c r="AC177" s="450"/>
      <c r="AD177" s="450"/>
      <c r="AE177" s="450"/>
      <c r="AF177" s="450"/>
      <c r="AG177" s="450"/>
      <c r="AH177" s="450"/>
      <c r="AI177" s="450"/>
      <c r="AJ177" s="450"/>
      <c r="AK177" s="450"/>
    </row>
    <row r="178" spans="20:37" ht="18" customHeight="1" hidden="1">
      <c r="T178" s="450"/>
      <c r="U178" s="450"/>
      <c r="V178" s="450"/>
      <c r="W178" s="450"/>
      <c r="X178" s="450"/>
      <c r="Y178" s="450"/>
      <c r="Z178" s="450"/>
      <c r="AA178" s="450"/>
      <c r="AB178" s="450"/>
      <c r="AC178" s="450"/>
      <c r="AD178" s="450"/>
      <c r="AE178" s="450"/>
      <c r="AF178" s="450"/>
      <c r="AG178" s="450"/>
      <c r="AH178" s="450"/>
      <c r="AI178" s="450"/>
      <c r="AJ178" s="450"/>
      <c r="AK178" s="450"/>
    </row>
    <row r="179" spans="20:37" ht="18" customHeight="1" hidden="1">
      <c r="T179" s="450"/>
      <c r="U179" s="450"/>
      <c r="V179" s="450"/>
      <c r="W179" s="450"/>
      <c r="X179" s="450"/>
      <c r="Y179" s="450"/>
      <c r="Z179" s="450"/>
      <c r="AA179" s="450"/>
      <c r="AB179" s="450"/>
      <c r="AC179" s="450"/>
      <c r="AD179" s="450"/>
      <c r="AE179" s="450"/>
      <c r="AF179" s="450"/>
      <c r="AG179" s="450"/>
      <c r="AH179" s="450"/>
      <c r="AI179" s="450"/>
      <c r="AJ179" s="450"/>
      <c r="AK179" s="450"/>
    </row>
    <row r="180" spans="20:37" ht="18" customHeight="1" hidden="1">
      <c r="T180" s="450"/>
      <c r="U180" s="450"/>
      <c r="V180" s="450"/>
      <c r="W180" s="450"/>
      <c r="X180" s="450"/>
      <c r="Y180" s="450"/>
      <c r="Z180" s="450"/>
      <c r="AA180" s="450"/>
      <c r="AB180" s="450"/>
      <c r="AC180" s="450"/>
      <c r="AD180" s="450"/>
      <c r="AE180" s="450"/>
      <c r="AF180" s="450"/>
      <c r="AG180" s="450"/>
      <c r="AH180" s="450"/>
      <c r="AI180" s="450"/>
      <c r="AJ180" s="450"/>
      <c r="AK180" s="450"/>
    </row>
    <row r="181" spans="20:37" ht="18" customHeight="1" hidden="1">
      <c r="T181" s="450"/>
      <c r="U181" s="450"/>
      <c r="V181" s="450"/>
      <c r="W181" s="450"/>
      <c r="X181" s="450"/>
      <c r="Y181" s="450"/>
      <c r="Z181" s="450"/>
      <c r="AA181" s="450"/>
      <c r="AB181" s="450"/>
      <c r="AC181" s="450"/>
      <c r="AD181" s="450"/>
      <c r="AE181" s="450"/>
      <c r="AF181" s="450"/>
      <c r="AG181" s="450"/>
      <c r="AH181" s="450"/>
      <c r="AI181" s="450"/>
      <c r="AJ181" s="450"/>
      <c r="AK181" s="450"/>
    </row>
    <row r="182" spans="20:37" ht="18" customHeight="1" hidden="1">
      <c r="T182" s="450"/>
      <c r="U182" s="450"/>
      <c r="V182" s="450"/>
      <c r="W182" s="450"/>
      <c r="X182" s="450"/>
      <c r="Y182" s="450"/>
      <c r="Z182" s="450"/>
      <c r="AA182" s="450"/>
      <c r="AB182" s="450"/>
      <c r="AC182" s="450"/>
      <c r="AD182" s="450"/>
      <c r="AE182" s="450"/>
      <c r="AF182" s="450"/>
      <c r="AG182" s="450"/>
      <c r="AH182" s="450"/>
      <c r="AI182" s="450"/>
      <c r="AJ182" s="450"/>
      <c r="AK182" s="450"/>
    </row>
    <row r="183" spans="20:37" ht="18" customHeight="1" hidden="1">
      <c r="T183" s="450"/>
      <c r="U183" s="450"/>
      <c r="V183" s="450"/>
      <c r="W183" s="450"/>
      <c r="X183" s="450"/>
      <c r="Y183" s="450"/>
      <c r="Z183" s="450"/>
      <c r="AA183" s="450"/>
      <c r="AB183" s="450"/>
      <c r="AC183" s="450"/>
      <c r="AD183" s="450"/>
      <c r="AE183" s="450"/>
      <c r="AF183" s="450"/>
      <c r="AG183" s="450"/>
      <c r="AH183" s="450"/>
      <c r="AI183" s="450"/>
      <c r="AJ183" s="450"/>
      <c r="AK183" s="450"/>
    </row>
    <row r="184" spans="20:37" ht="18" customHeight="1" hidden="1">
      <c r="T184" s="450"/>
      <c r="U184" s="450"/>
      <c r="V184" s="450"/>
      <c r="W184" s="450"/>
      <c r="X184" s="450"/>
      <c r="Y184" s="450"/>
      <c r="Z184" s="450"/>
      <c r="AA184" s="450"/>
      <c r="AB184" s="450"/>
      <c r="AC184" s="450"/>
      <c r="AD184" s="450"/>
      <c r="AE184" s="450"/>
      <c r="AF184" s="450"/>
      <c r="AG184" s="450"/>
      <c r="AH184" s="450"/>
      <c r="AI184" s="450"/>
      <c r="AJ184" s="450"/>
      <c r="AK184" s="450"/>
    </row>
    <row r="185" spans="20:37" ht="18" customHeight="1" hidden="1">
      <c r="T185" s="450"/>
      <c r="U185" s="450"/>
      <c r="V185" s="450"/>
      <c r="W185" s="450"/>
      <c r="X185" s="450"/>
      <c r="Y185" s="450"/>
      <c r="Z185" s="450"/>
      <c r="AA185" s="450"/>
      <c r="AB185" s="450"/>
      <c r="AC185" s="450"/>
      <c r="AD185" s="450"/>
      <c r="AE185" s="450"/>
      <c r="AF185" s="450"/>
      <c r="AG185" s="450"/>
      <c r="AH185" s="450"/>
      <c r="AI185" s="450"/>
      <c r="AJ185" s="450"/>
      <c r="AK185" s="450"/>
    </row>
    <row r="186" spans="20:37" ht="18" customHeight="1" hidden="1">
      <c r="T186" s="450"/>
      <c r="U186" s="450"/>
      <c r="V186" s="450"/>
      <c r="W186" s="450"/>
      <c r="X186" s="450"/>
      <c r="Y186" s="450"/>
      <c r="Z186" s="450"/>
      <c r="AA186" s="450"/>
      <c r="AB186" s="450"/>
      <c r="AC186" s="450"/>
      <c r="AD186" s="450"/>
      <c r="AE186" s="450"/>
      <c r="AF186" s="450"/>
      <c r="AG186" s="450"/>
      <c r="AH186" s="450"/>
      <c r="AI186" s="450"/>
      <c r="AJ186" s="450"/>
      <c r="AK186" s="450"/>
    </row>
    <row r="187" spans="20:37" ht="18" customHeight="1" hidden="1">
      <c r="T187" s="450"/>
      <c r="U187" s="450"/>
      <c r="V187" s="450"/>
      <c r="W187" s="450"/>
      <c r="X187" s="450"/>
      <c r="Y187" s="450"/>
      <c r="Z187" s="450"/>
      <c r="AA187" s="450"/>
      <c r="AB187" s="450"/>
      <c r="AC187" s="450"/>
      <c r="AD187" s="450"/>
      <c r="AE187" s="450"/>
      <c r="AF187" s="450"/>
      <c r="AG187" s="450"/>
      <c r="AH187" s="450"/>
      <c r="AI187" s="450"/>
      <c r="AJ187" s="450"/>
      <c r="AK187" s="450"/>
    </row>
    <row r="188" spans="20:37" ht="18" customHeight="1" hidden="1">
      <c r="T188" s="450"/>
      <c r="U188" s="450"/>
      <c r="V188" s="450"/>
      <c r="W188" s="450"/>
      <c r="X188" s="450"/>
      <c r="Y188" s="450"/>
      <c r="Z188" s="450"/>
      <c r="AA188" s="450"/>
      <c r="AB188" s="450"/>
      <c r="AC188" s="450"/>
      <c r="AD188" s="450"/>
      <c r="AE188" s="450"/>
      <c r="AF188" s="450"/>
      <c r="AG188" s="450"/>
      <c r="AH188" s="450"/>
      <c r="AI188" s="450"/>
      <c r="AJ188" s="450"/>
      <c r="AK188" s="450"/>
    </row>
    <row r="189" spans="20:37" ht="18" customHeight="1" hidden="1">
      <c r="T189" s="450"/>
      <c r="U189" s="450"/>
      <c r="V189" s="450"/>
      <c r="W189" s="450"/>
      <c r="X189" s="450"/>
      <c r="Y189" s="450"/>
      <c r="Z189" s="450"/>
      <c r="AA189" s="450"/>
      <c r="AB189" s="450"/>
      <c r="AC189" s="450"/>
      <c r="AD189" s="450"/>
      <c r="AE189" s="450"/>
      <c r="AF189" s="450"/>
      <c r="AG189" s="450"/>
      <c r="AH189" s="450"/>
      <c r="AI189" s="450"/>
      <c r="AJ189" s="450"/>
      <c r="AK189" s="450"/>
    </row>
    <row r="190" spans="20:37" ht="18" customHeight="1" hidden="1">
      <c r="T190" s="450"/>
      <c r="U190" s="450"/>
      <c r="V190" s="450"/>
      <c r="W190" s="450"/>
      <c r="X190" s="450"/>
      <c r="Y190" s="450"/>
      <c r="Z190" s="450"/>
      <c r="AA190" s="450"/>
      <c r="AB190" s="450"/>
      <c r="AC190" s="450"/>
      <c r="AD190" s="450"/>
      <c r="AE190" s="450"/>
      <c r="AF190" s="450"/>
      <c r="AG190" s="450"/>
      <c r="AH190" s="450"/>
      <c r="AI190" s="450"/>
      <c r="AJ190" s="450"/>
      <c r="AK190" s="450"/>
    </row>
    <row r="191" spans="20:37" ht="18" customHeight="1" hidden="1">
      <c r="T191" s="450"/>
      <c r="U191" s="450"/>
      <c r="V191" s="450"/>
      <c r="W191" s="450"/>
      <c r="X191" s="450"/>
      <c r="Y191" s="450"/>
      <c r="Z191" s="450"/>
      <c r="AA191" s="450"/>
      <c r="AB191" s="450"/>
      <c r="AC191" s="450"/>
      <c r="AD191" s="450"/>
      <c r="AE191" s="450"/>
      <c r="AF191" s="450"/>
      <c r="AG191" s="450"/>
      <c r="AH191" s="450"/>
      <c r="AI191" s="450"/>
      <c r="AJ191" s="450"/>
      <c r="AK191" s="450"/>
    </row>
    <row r="192" spans="20:37" ht="18" customHeight="1" hidden="1">
      <c r="T192" s="450"/>
      <c r="U192" s="450"/>
      <c r="V192" s="450"/>
      <c r="W192" s="450"/>
      <c r="X192" s="450"/>
      <c r="Y192" s="450"/>
      <c r="Z192" s="450"/>
      <c r="AA192" s="450"/>
      <c r="AB192" s="450"/>
      <c r="AC192" s="450"/>
      <c r="AD192" s="450"/>
      <c r="AE192" s="450"/>
      <c r="AF192" s="450"/>
      <c r="AG192" s="450"/>
      <c r="AH192" s="450"/>
      <c r="AI192" s="450"/>
      <c r="AJ192" s="450"/>
      <c r="AK192" s="450"/>
    </row>
    <row r="193" spans="20:37" ht="18" customHeight="1" hidden="1">
      <c r="T193" s="450"/>
      <c r="U193" s="450"/>
      <c r="V193" s="450"/>
      <c r="W193" s="450"/>
      <c r="X193" s="450"/>
      <c r="Y193" s="450"/>
      <c r="Z193" s="450"/>
      <c r="AA193" s="450"/>
      <c r="AB193" s="450"/>
      <c r="AC193" s="450"/>
      <c r="AD193" s="450"/>
      <c r="AE193" s="450"/>
      <c r="AF193" s="450"/>
      <c r="AG193" s="450"/>
      <c r="AH193" s="450"/>
      <c r="AI193" s="450"/>
      <c r="AJ193" s="450"/>
      <c r="AK193" s="450"/>
    </row>
    <row r="194" spans="20:37" ht="18" customHeight="1" hidden="1">
      <c r="T194" s="450"/>
      <c r="U194" s="450"/>
      <c r="V194" s="450"/>
      <c r="W194" s="450"/>
      <c r="X194" s="450"/>
      <c r="Y194" s="450"/>
      <c r="Z194" s="450"/>
      <c r="AA194" s="450"/>
      <c r="AB194" s="450"/>
      <c r="AC194" s="450"/>
      <c r="AD194" s="450"/>
      <c r="AE194" s="450"/>
      <c r="AF194" s="450"/>
      <c r="AG194" s="450"/>
      <c r="AH194" s="450"/>
      <c r="AI194" s="450"/>
      <c r="AJ194" s="450"/>
      <c r="AK194" s="450"/>
    </row>
    <row r="195" spans="20:37" ht="18" customHeight="1" hidden="1">
      <c r="T195" s="450"/>
      <c r="U195" s="450"/>
      <c r="V195" s="450"/>
      <c r="W195" s="450"/>
      <c r="X195" s="450"/>
      <c r="Y195" s="450"/>
      <c r="Z195" s="450"/>
      <c r="AA195" s="450"/>
      <c r="AB195" s="450"/>
      <c r="AC195" s="450"/>
      <c r="AD195" s="450"/>
      <c r="AE195" s="450"/>
      <c r="AF195" s="450"/>
      <c r="AG195" s="450"/>
      <c r="AH195" s="450"/>
      <c r="AI195" s="450"/>
      <c r="AJ195" s="450"/>
      <c r="AK195" s="450"/>
    </row>
    <row r="196" spans="20:37" ht="18" customHeight="1" hidden="1">
      <c r="T196" s="450"/>
      <c r="U196" s="450"/>
      <c r="V196" s="450"/>
      <c r="W196" s="450"/>
      <c r="X196" s="450"/>
      <c r="Y196" s="450"/>
      <c r="Z196" s="450"/>
      <c r="AA196" s="450"/>
      <c r="AB196" s="450"/>
      <c r="AC196" s="450"/>
      <c r="AD196" s="450"/>
      <c r="AE196" s="450"/>
      <c r="AF196" s="450"/>
      <c r="AG196" s="450"/>
      <c r="AH196" s="450"/>
      <c r="AI196" s="450"/>
      <c r="AJ196" s="450"/>
      <c r="AK196" s="450"/>
    </row>
    <row r="197" spans="20:37" ht="18" customHeight="1" hidden="1">
      <c r="T197" s="450"/>
      <c r="U197" s="450"/>
      <c r="V197" s="450"/>
      <c r="W197" s="450"/>
      <c r="X197" s="450"/>
      <c r="Y197" s="450"/>
      <c r="Z197" s="450"/>
      <c r="AA197" s="450"/>
      <c r="AB197" s="450"/>
      <c r="AC197" s="450"/>
      <c r="AD197" s="450"/>
      <c r="AE197" s="450"/>
      <c r="AF197" s="450"/>
      <c r="AG197" s="450"/>
      <c r="AH197" s="450"/>
      <c r="AI197" s="450"/>
      <c r="AJ197" s="450"/>
      <c r="AK197" s="450"/>
    </row>
    <row r="198" spans="20:37" ht="18" customHeight="1" hidden="1">
      <c r="T198" s="450"/>
      <c r="U198" s="450"/>
      <c r="V198" s="450"/>
      <c r="W198" s="450"/>
      <c r="X198" s="450"/>
      <c r="Y198" s="450"/>
      <c r="Z198" s="450"/>
      <c r="AA198" s="450"/>
      <c r="AB198" s="450"/>
      <c r="AC198" s="450"/>
      <c r="AD198" s="450"/>
      <c r="AE198" s="450"/>
      <c r="AF198" s="450"/>
      <c r="AG198" s="450"/>
      <c r="AH198" s="450"/>
      <c r="AI198" s="450"/>
      <c r="AJ198" s="450"/>
      <c r="AK198" s="450"/>
    </row>
    <row r="199" spans="20:37" ht="18" customHeight="1" hidden="1">
      <c r="T199" s="450"/>
      <c r="U199" s="450"/>
      <c r="V199" s="450"/>
      <c r="W199" s="450"/>
      <c r="X199" s="450"/>
      <c r="Y199" s="450"/>
      <c r="Z199" s="450"/>
      <c r="AA199" s="450"/>
      <c r="AB199" s="450"/>
      <c r="AC199" s="450"/>
      <c r="AD199" s="450"/>
      <c r="AE199" s="450"/>
      <c r="AF199" s="450"/>
      <c r="AG199" s="450"/>
      <c r="AH199" s="450"/>
      <c r="AI199" s="450"/>
      <c r="AJ199" s="450"/>
      <c r="AK199" s="450"/>
    </row>
    <row r="200" spans="20:37" ht="18" customHeight="1" hidden="1">
      <c r="T200" s="450"/>
      <c r="U200" s="450"/>
      <c r="V200" s="450"/>
      <c r="W200" s="450"/>
      <c r="X200" s="450"/>
      <c r="Y200" s="450"/>
      <c r="Z200" s="450"/>
      <c r="AA200" s="450"/>
      <c r="AB200" s="450"/>
      <c r="AC200" s="450"/>
      <c r="AD200" s="450"/>
      <c r="AE200" s="450"/>
      <c r="AF200" s="450"/>
      <c r="AG200" s="450"/>
      <c r="AH200" s="450"/>
      <c r="AI200" s="450"/>
      <c r="AJ200" s="450"/>
      <c r="AK200" s="450"/>
    </row>
    <row r="201" spans="20:37" ht="18" customHeight="1" hidden="1">
      <c r="T201" s="450"/>
      <c r="U201" s="450"/>
      <c r="V201" s="450"/>
      <c r="W201" s="450"/>
      <c r="X201" s="450"/>
      <c r="Y201" s="450"/>
      <c r="Z201" s="450"/>
      <c r="AA201" s="450"/>
      <c r="AB201" s="450"/>
      <c r="AC201" s="450"/>
      <c r="AD201" s="450"/>
      <c r="AE201" s="450"/>
      <c r="AF201" s="450"/>
      <c r="AG201" s="450"/>
      <c r="AH201" s="450"/>
      <c r="AI201" s="450"/>
      <c r="AJ201" s="450"/>
      <c r="AK201" s="450"/>
    </row>
    <row r="202" spans="20:37" ht="18" customHeight="1" hidden="1">
      <c r="T202" s="450"/>
      <c r="U202" s="450"/>
      <c r="V202" s="450"/>
      <c r="W202" s="450"/>
      <c r="X202" s="450"/>
      <c r="Y202" s="450"/>
      <c r="Z202" s="450"/>
      <c r="AA202" s="450"/>
      <c r="AB202" s="450"/>
      <c r="AC202" s="450"/>
      <c r="AD202" s="450"/>
      <c r="AE202" s="450"/>
      <c r="AF202" s="450"/>
      <c r="AG202" s="450"/>
      <c r="AH202" s="450"/>
      <c r="AI202" s="450"/>
      <c r="AJ202" s="450"/>
      <c r="AK202" s="450"/>
    </row>
    <row r="203" spans="20:37" ht="18" customHeight="1" hidden="1">
      <c r="T203" s="450"/>
      <c r="U203" s="450"/>
      <c r="V203" s="450"/>
      <c r="W203" s="450"/>
      <c r="X203" s="450"/>
      <c r="Y203" s="450"/>
      <c r="Z203" s="450"/>
      <c r="AA203" s="450"/>
      <c r="AB203" s="450"/>
      <c r="AC203" s="450"/>
      <c r="AD203" s="450"/>
      <c r="AE203" s="450"/>
      <c r="AF203" s="450"/>
      <c r="AG203" s="450"/>
      <c r="AH203" s="450"/>
      <c r="AI203" s="450"/>
      <c r="AJ203" s="450"/>
      <c r="AK203" s="450"/>
    </row>
    <row r="204" spans="20:37" ht="18" customHeight="1" hidden="1">
      <c r="T204" s="450"/>
      <c r="U204" s="450"/>
      <c r="V204" s="450"/>
      <c r="W204" s="450"/>
      <c r="X204" s="450"/>
      <c r="Y204" s="450"/>
      <c r="Z204" s="450"/>
      <c r="AA204" s="450"/>
      <c r="AB204" s="450"/>
      <c r="AC204" s="450"/>
      <c r="AD204" s="450"/>
      <c r="AE204" s="450"/>
      <c r="AF204" s="450"/>
      <c r="AG204" s="450"/>
      <c r="AH204" s="450"/>
      <c r="AI204" s="450"/>
      <c r="AJ204" s="450"/>
      <c r="AK204" s="450"/>
    </row>
    <row r="205" spans="20:37" ht="18" customHeight="1" hidden="1">
      <c r="T205" s="450"/>
      <c r="U205" s="450"/>
      <c r="V205" s="450"/>
      <c r="W205" s="450"/>
      <c r="X205" s="450"/>
      <c r="Y205" s="450"/>
      <c r="Z205" s="450"/>
      <c r="AA205" s="450"/>
      <c r="AB205" s="450"/>
      <c r="AC205" s="450"/>
      <c r="AD205" s="450"/>
      <c r="AE205" s="450"/>
      <c r="AF205" s="450"/>
      <c r="AG205" s="450"/>
      <c r="AH205" s="450"/>
      <c r="AI205" s="450"/>
      <c r="AJ205" s="450"/>
      <c r="AK205" s="450"/>
    </row>
    <row r="206" spans="20:37" ht="18" customHeight="1" hidden="1">
      <c r="T206" s="450"/>
      <c r="U206" s="450"/>
      <c r="V206" s="450"/>
      <c r="W206" s="450"/>
      <c r="X206" s="450"/>
      <c r="Y206" s="450"/>
      <c r="Z206" s="450"/>
      <c r="AA206" s="450"/>
      <c r="AB206" s="450"/>
      <c r="AC206" s="450"/>
      <c r="AD206" s="450"/>
      <c r="AE206" s="450"/>
      <c r="AF206" s="450"/>
      <c r="AG206" s="450"/>
      <c r="AH206" s="450"/>
      <c r="AI206" s="450"/>
      <c r="AJ206" s="450"/>
      <c r="AK206" s="450"/>
    </row>
    <row r="207" spans="20:37" ht="18" customHeight="1" hidden="1">
      <c r="T207" s="450"/>
      <c r="U207" s="450"/>
      <c r="V207" s="450"/>
      <c r="W207" s="450"/>
      <c r="X207" s="450"/>
      <c r="Y207" s="450"/>
      <c r="Z207" s="450"/>
      <c r="AA207" s="450"/>
      <c r="AB207" s="450"/>
      <c r="AC207" s="450"/>
      <c r="AD207" s="450"/>
      <c r="AE207" s="450"/>
      <c r="AF207" s="450"/>
      <c r="AG207" s="450"/>
      <c r="AH207" s="450"/>
      <c r="AI207" s="450"/>
      <c r="AJ207" s="450"/>
      <c r="AK207" s="450"/>
    </row>
    <row r="208" spans="20:37" ht="18" customHeight="1" hidden="1">
      <c r="T208" s="450"/>
      <c r="U208" s="450"/>
      <c r="V208" s="450"/>
      <c r="W208" s="450"/>
      <c r="X208" s="450"/>
      <c r="Y208" s="450"/>
      <c r="Z208" s="450"/>
      <c r="AA208" s="450"/>
      <c r="AB208" s="450"/>
      <c r="AC208" s="450"/>
      <c r="AD208" s="450"/>
      <c r="AE208" s="450"/>
      <c r="AF208" s="450"/>
      <c r="AG208" s="450"/>
      <c r="AH208" s="450"/>
      <c r="AI208" s="450"/>
      <c r="AJ208" s="450"/>
      <c r="AK208" s="450"/>
    </row>
    <row r="209" spans="20:37" ht="18" customHeight="1" hidden="1">
      <c r="T209" s="450"/>
      <c r="U209" s="450"/>
      <c r="V209" s="450"/>
      <c r="W209" s="450"/>
      <c r="X209" s="450"/>
      <c r="Y209" s="450"/>
      <c r="Z209" s="450"/>
      <c r="AA209" s="450"/>
      <c r="AB209" s="450"/>
      <c r="AC209" s="450"/>
      <c r="AD209" s="450"/>
      <c r="AE209" s="450"/>
      <c r="AF209" s="450"/>
      <c r="AG209" s="450"/>
      <c r="AH209" s="450"/>
      <c r="AI209" s="450"/>
      <c r="AJ209" s="450"/>
      <c r="AK209" s="450"/>
    </row>
    <row r="210" spans="20:37" ht="18" customHeight="1" hidden="1">
      <c r="T210" s="450"/>
      <c r="U210" s="450"/>
      <c r="V210" s="450"/>
      <c r="W210" s="450"/>
      <c r="X210" s="450"/>
      <c r="Y210" s="450"/>
      <c r="Z210" s="450"/>
      <c r="AA210" s="450"/>
      <c r="AB210" s="450"/>
      <c r="AC210" s="450"/>
      <c r="AD210" s="450"/>
      <c r="AE210" s="450"/>
      <c r="AF210" s="450"/>
      <c r="AG210" s="450"/>
      <c r="AH210" s="450"/>
      <c r="AI210" s="450"/>
      <c r="AJ210" s="450"/>
      <c r="AK210" s="450"/>
    </row>
    <row r="211" spans="20:37" ht="18" customHeight="1" hidden="1">
      <c r="T211" s="450"/>
      <c r="U211" s="450"/>
      <c r="V211" s="450"/>
      <c r="W211" s="450"/>
      <c r="X211" s="450"/>
      <c r="Y211" s="450"/>
      <c r="Z211" s="450"/>
      <c r="AA211" s="450"/>
      <c r="AB211" s="450"/>
      <c r="AC211" s="450"/>
      <c r="AD211" s="450"/>
      <c r="AE211" s="450"/>
      <c r="AF211" s="450"/>
      <c r="AG211" s="450"/>
      <c r="AH211" s="450"/>
      <c r="AI211" s="450"/>
      <c r="AJ211" s="450"/>
      <c r="AK211" s="450"/>
    </row>
    <row r="212" spans="20:37" ht="18" customHeight="1" hidden="1">
      <c r="T212" s="450"/>
      <c r="U212" s="450"/>
      <c r="V212" s="450"/>
      <c r="W212" s="450"/>
      <c r="X212" s="450"/>
      <c r="Y212" s="450"/>
      <c r="Z212" s="450"/>
      <c r="AA212" s="450"/>
      <c r="AB212" s="450"/>
      <c r="AC212" s="450"/>
      <c r="AD212" s="450"/>
      <c r="AE212" s="450"/>
      <c r="AF212" s="450"/>
      <c r="AG212" s="450"/>
      <c r="AH212" s="450"/>
      <c r="AI212" s="450"/>
      <c r="AJ212" s="450"/>
      <c r="AK212" s="450"/>
    </row>
    <row r="213" spans="20:37" ht="18" customHeight="1" hidden="1">
      <c r="T213" s="450"/>
      <c r="U213" s="450"/>
      <c r="V213" s="450"/>
      <c r="W213" s="450"/>
      <c r="X213" s="450"/>
      <c r="Y213" s="450"/>
      <c r="Z213" s="450"/>
      <c r="AA213" s="450"/>
      <c r="AB213" s="450"/>
      <c r="AC213" s="450"/>
      <c r="AD213" s="450"/>
      <c r="AE213" s="450"/>
      <c r="AF213" s="450"/>
      <c r="AG213" s="450"/>
      <c r="AH213" s="450"/>
      <c r="AI213" s="450"/>
      <c r="AJ213" s="450"/>
      <c r="AK213" s="450"/>
    </row>
    <row r="214" spans="20:37" ht="18" customHeight="1" hidden="1">
      <c r="T214" s="450"/>
      <c r="U214" s="450"/>
      <c r="V214" s="450"/>
      <c r="W214" s="450"/>
      <c r="X214" s="450"/>
      <c r="Y214" s="450"/>
      <c r="Z214" s="450"/>
      <c r="AA214" s="450"/>
      <c r="AB214" s="450"/>
      <c r="AC214" s="450"/>
      <c r="AD214" s="450"/>
      <c r="AE214" s="450"/>
      <c r="AF214" s="450"/>
      <c r="AG214" s="450"/>
      <c r="AH214" s="450"/>
      <c r="AI214" s="450"/>
      <c r="AJ214" s="450"/>
      <c r="AK214" s="450"/>
    </row>
    <row r="215" spans="20:37" ht="18" customHeight="1" hidden="1">
      <c r="T215" s="450"/>
      <c r="U215" s="450"/>
      <c r="V215" s="450"/>
      <c r="W215" s="450"/>
      <c r="X215" s="450"/>
      <c r="Y215" s="450"/>
      <c r="Z215" s="450"/>
      <c r="AA215" s="450"/>
      <c r="AB215" s="450"/>
      <c r="AC215" s="450"/>
      <c r="AD215" s="450"/>
      <c r="AE215" s="450"/>
      <c r="AF215" s="450"/>
      <c r="AG215" s="450"/>
      <c r="AH215" s="450"/>
      <c r="AI215" s="450"/>
      <c r="AJ215" s="450"/>
      <c r="AK215" s="450"/>
    </row>
    <row r="216" spans="20:37" ht="18" customHeight="1" hidden="1">
      <c r="T216" s="450"/>
      <c r="U216" s="450"/>
      <c r="V216" s="450"/>
      <c r="W216" s="450"/>
      <c r="X216" s="450"/>
      <c r="Y216" s="450"/>
      <c r="Z216" s="450"/>
      <c r="AA216" s="450"/>
      <c r="AB216" s="450"/>
      <c r="AC216" s="450"/>
      <c r="AD216" s="450"/>
      <c r="AE216" s="450"/>
      <c r="AF216" s="450"/>
      <c r="AG216" s="450"/>
      <c r="AH216" s="450"/>
      <c r="AI216" s="450"/>
      <c r="AJ216" s="450"/>
      <c r="AK216" s="450"/>
    </row>
    <row r="217" spans="20:37" ht="18" customHeight="1" hidden="1">
      <c r="T217" s="450"/>
      <c r="U217" s="450"/>
      <c r="V217" s="450"/>
      <c r="W217" s="450"/>
      <c r="X217" s="450"/>
      <c r="Y217" s="450"/>
      <c r="Z217" s="450"/>
      <c r="AA217" s="450"/>
      <c r="AB217" s="450"/>
      <c r="AC217" s="450"/>
      <c r="AD217" s="450"/>
      <c r="AE217" s="450"/>
      <c r="AF217" s="450"/>
      <c r="AG217" s="450"/>
      <c r="AH217" s="450"/>
      <c r="AI217" s="450"/>
      <c r="AJ217" s="450"/>
      <c r="AK217" s="450"/>
    </row>
    <row r="218" spans="20:37" ht="18" customHeight="1" hidden="1">
      <c r="T218" s="450"/>
      <c r="U218" s="450"/>
      <c r="V218" s="450"/>
      <c r="W218" s="450"/>
      <c r="X218" s="450"/>
      <c r="Y218" s="450"/>
      <c r="Z218" s="450"/>
      <c r="AA218" s="450"/>
      <c r="AB218" s="450"/>
      <c r="AC218" s="450"/>
      <c r="AD218" s="450"/>
      <c r="AE218" s="450"/>
      <c r="AF218" s="450"/>
      <c r="AG218" s="450"/>
      <c r="AH218" s="450"/>
      <c r="AI218" s="450"/>
      <c r="AJ218" s="450"/>
      <c r="AK218" s="450"/>
    </row>
    <row r="219" spans="20:37" ht="18" customHeight="1" hidden="1">
      <c r="T219" s="450"/>
      <c r="U219" s="450"/>
      <c r="V219" s="450"/>
      <c r="W219" s="450"/>
      <c r="X219" s="450"/>
      <c r="Y219" s="450"/>
      <c r="Z219" s="450"/>
      <c r="AA219" s="450"/>
      <c r="AB219" s="450"/>
      <c r="AC219" s="450"/>
      <c r="AD219" s="450"/>
      <c r="AE219" s="450"/>
      <c r="AF219" s="450"/>
      <c r="AG219" s="450"/>
      <c r="AH219" s="450"/>
      <c r="AI219" s="450"/>
      <c r="AJ219" s="450"/>
      <c r="AK219" s="450"/>
    </row>
    <row r="220" spans="20:37" ht="18" customHeight="1" hidden="1">
      <c r="T220" s="450"/>
      <c r="U220" s="450"/>
      <c r="V220" s="450"/>
      <c r="W220" s="450"/>
      <c r="X220" s="450"/>
      <c r="Y220" s="450"/>
      <c r="Z220" s="450"/>
      <c r="AA220" s="450"/>
      <c r="AB220" s="450"/>
      <c r="AC220" s="450"/>
      <c r="AD220" s="450"/>
      <c r="AE220" s="450"/>
      <c r="AF220" s="450"/>
      <c r="AG220" s="450"/>
      <c r="AH220" s="450"/>
      <c r="AI220" s="450"/>
      <c r="AJ220" s="450"/>
      <c r="AK220" s="450"/>
    </row>
    <row r="221" spans="20:37" ht="18" customHeight="1" hidden="1">
      <c r="T221" s="450"/>
      <c r="U221" s="450"/>
      <c r="V221" s="450"/>
      <c r="W221" s="450"/>
      <c r="X221" s="450"/>
      <c r="Y221" s="450"/>
      <c r="Z221" s="450"/>
      <c r="AA221" s="450"/>
      <c r="AB221" s="450"/>
      <c r="AC221" s="450"/>
      <c r="AD221" s="450"/>
      <c r="AE221" s="450"/>
      <c r="AF221" s="450"/>
      <c r="AG221" s="450"/>
      <c r="AH221" s="450"/>
      <c r="AI221" s="450"/>
      <c r="AJ221" s="450"/>
      <c r="AK221" s="450"/>
    </row>
    <row r="222" spans="20:37" ht="18" customHeight="1" hidden="1">
      <c r="T222" s="450"/>
      <c r="U222" s="450"/>
      <c r="V222" s="450"/>
      <c r="W222" s="450"/>
      <c r="X222" s="450"/>
      <c r="Y222" s="450"/>
      <c r="Z222" s="450"/>
      <c r="AA222" s="450"/>
      <c r="AB222" s="450"/>
      <c r="AC222" s="450"/>
      <c r="AD222" s="450"/>
      <c r="AE222" s="450"/>
      <c r="AF222" s="450"/>
      <c r="AG222" s="450"/>
      <c r="AH222" s="450"/>
      <c r="AI222" s="450"/>
      <c r="AJ222" s="450"/>
      <c r="AK222" s="450"/>
    </row>
    <row r="223" spans="20:37" ht="18" customHeight="1" hidden="1">
      <c r="T223" s="450"/>
      <c r="U223" s="450"/>
      <c r="V223" s="450"/>
      <c r="W223" s="450"/>
      <c r="X223" s="450"/>
      <c r="Y223" s="450"/>
      <c r="Z223" s="450"/>
      <c r="AA223" s="450"/>
      <c r="AB223" s="450"/>
      <c r="AC223" s="450"/>
      <c r="AD223" s="450"/>
      <c r="AE223" s="450"/>
      <c r="AF223" s="450"/>
      <c r="AG223" s="450"/>
      <c r="AH223" s="450"/>
      <c r="AI223" s="450"/>
      <c r="AJ223" s="450"/>
      <c r="AK223" s="450"/>
    </row>
    <row r="224" spans="20:37" ht="18" customHeight="1" hidden="1">
      <c r="T224" s="450"/>
      <c r="U224" s="450"/>
      <c r="V224" s="450"/>
      <c r="W224" s="450"/>
      <c r="X224" s="450"/>
      <c r="Y224" s="450"/>
      <c r="Z224" s="450"/>
      <c r="AA224" s="450"/>
      <c r="AB224" s="450"/>
      <c r="AC224" s="450"/>
      <c r="AD224" s="450"/>
      <c r="AE224" s="450"/>
      <c r="AF224" s="450"/>
      <c r="AG224" s="450"/>
      <c r="AH224" s="450"/>
      <c r="AI224" s="450"/>
      <c r="AJ224" s="450"/>
      <c r="AK224" s="450"/>
    </row>
    <row r="225" spans="20:37" ht="18" customHeight="1" hidden="1">
      <c r="T225" s="450"/>
      <c r="U225" s="450"/>
      <c r="V225" s="450"/>
      <c r="W225" s="450"/>
      <c r="X225" s="450"/>
      <c r="Y225" s="450"/>
      <c r="Z225" s="450"/>
      <c r="AA225" s="450"/>
      <c r="AB225" s="450"/>
      <c r="AC225" s="450"/>
      <c r="AD225" s="450"/>
      <c r="AE225" s="450"/>
      <c r="AF225" s="450"/>
      <c r="AG225" s="450"/>
      <c r="AH225" s="450"/>
      <c r="AI225" s="450"/>
      <c r="AJ225" s="450"/>
      <c r="AK225" s="450"/>
    </row>
    <row r="226" spans="20:37" ht="18" customHeight="1" hidden="1">
      <c r="T226" s="450"/>
      <c r="U226" s="450"/>
      <c r="V226" s="450"/>
      <c r="W226" s="450"/>
      <c r="X226" s="450"/>
      <c r="Y226" s="450"/>
      <c r="Z226" s="450"/>
      <c r="AA226" s="450"/>
      <c r="AB226" s="450"/>
      <c r="AC226" s="450"/>
      <c r="AD226" s="450"/>
      <c r="AE226" s="450"/>
      <c r="AF226" s="450"/>
      <c r="AG226" s="450"/>
      <c r="AH226" s="450"/>
      <c r="AI226" s="450"/>
      <c r="AJ226" s="450"/>
      <c r="AK226" s="450"/>
    </row>
    <row r="227" spans="20:37" ht="18" customHeight="1" hidden="1">
      <c r="T227" s="450"/>
      <c r="U227" s="450"/>
      <c r="V227" s="450"/>
      <c r="W227" s="450"/>
      <c r="X227" s="450"/>
      <c r="Y227" s="450"/>
      <c r="Z227" s="450"/>
      <c r="AA227" s="450"/>
      <c r="AB227" s="450"/>
      <c r="AC227" s="450"/>
      <c r="AD227" s="450"/>
      <c r="AE227" s="450"/>
      <c r="AF227" s="450"/>
      <c r="AG227" s="450"/>
      <c r="AH227" s="450"/>
      <c r="AI227" s="450"/>
      <c r="AJ227" s="450"/>
      <c r="AK227" s="450"/>
    </row>
    <row r="228" spans="20:37" ht="18" customHeight="1" hidden="1">
      <c r="T228" s="450"/>
      <c r="U228" s="450"/>
      <c r="V228" s="450"/>
      <c r="W228" s="450"/>
      <c r="X228" s="450"/>
      <c r="Y228" s="450"/>
      <c r="Z228" s="450"/>
      <c r="AA228" s="450"/>
      <c r="AB228" s="450"/>
      <c r="AC228" s="450"/>
      <c r="AD228" s="450"/>
      <c r="AE228" s="450"/>
      <c r="AF228" s="450"/>
      <c r="AG228" s="450"/>
      <c r="AH228" s="450"/>
      <c r="AI228" s="450"/>
      <c r="AJ228" s="450"/>
      <c r="AK228" s="450"/>
    </row>
    <row r="229" spans="20:37" ht="18" customHeight="1" hidden="1">
      <c r="T229" s="450"/>
      <c r="U229" s="450"/>
      <c r="V229" s="450"/>
      <c r="W229" s="450"/>
      <c r="X229" s="450"/>
      <c r="Y229" s="450"/>
      <c r="Z229" s="450"/>
      <c r="AA229" s="450"/>
      <c r="AB229" s="450"/>
      <c r="AC229" s="450"/>
      <c r="AD229" s="450"/>
      <c r="AE229" s="450"/>
      <c r="AF229" s="450"/>
      <c r="AG229" s="450"/>
      <c r="AH229" s="450"/>
      <c r="AI229" s="450"/>
      <c r="AJ229" s="450"/>
      <c r="AK229" s="450"/>
    </row>
    <row r="230" spans="20:37" ht="18" customHeight="1" hidden="1">
      <c r="T230" s="450"/>
      <c r="U230" s="450"/>
      <c r="V230" s="450"/>
      <c r="W230" s="450"/>
      <c r="X230" s="450"/>
      <c r="Y230" s="450"/>
      <c r="Z230" s="450"/>
      <c r="AA230" s="450"/>
      <c r="AB230" s="450"/>
      <c r="AC230" s="450"/>
      <c r="AD230" s="450"/>
      <c r="AE230" s="450"/>
      <c r="AF230" s="450"/>
      <c r="AG230" s="450"/>
      <c r="AH230" s="450"/>
      <c r="AI230" s="450"/>
      <c r="AJ230" s="450"/>
      <c r="AK230" s="450"/>
    </row>
    <row r="231" spans="20:37" ht="18" customHeight="1" hidden="1">
      <c r="T231" s="450"/>
      <c r="U231" s="450"/>
      <c r="V231" s="450"/>
      <c r="W231" s="450"/>
      <c r="X231" s="450"/>
      <c r="Y231" s="450"/>
      <c r="Z231" s="450"/>
      <c r="AA231" s="450"/>
      <c r="AB231" s="450"/>
      <c r="AC231" s="450"/>
      <c r="AD231" s="450"/>
      <c r="AE231" s="450"/>
      <c r="AF231" s="450"/>
      <c r="AG231" s="450"/>
      <c r="AH231" s="450"/>
      <c r="AI231" s="450"/>
      <c r="AJ231" s="450"/>
      <c r="AK231" s="450"/>
    </row>
    <row r="232" spans="20:37" ht="18" customHeight="1" hidden="1">
      <c r="T232" s="450"/>
      <c r="U232" s="450"/>
      <c r="V232" s="450"/>
      <c r="W232" s="450"/>
      <c r="X232" s="450"/>
      <c r="Y232" s="450"/>
      <c r="Z232" s="450"/>
      <c r="AA232" s="450"/>
      <c r="AB232" s="450"/>
      <c r="AC232" s="450"/>
      <c r="AD232" s="450"/>
      <c r="AE232" s="450"/>
      <c r="AF232" s="450"/>
      <c r="AG232" s="450"/>
      <c r="AH232" s="450"/>
      <c r="AI232" s="450"/>
      <c r="AJ232" s="450"/>
      <c r="AK232" s="450"/>
    </row>
    <row r="233" spans="20:37" ht="18" customHeight="1" hidden="1">
      <c r="T233" s="450"/>
      <c r="U233" s="450"/>
      <c r="V233" s="450"/>
      <c r="W233" s="450"/>
      <c r="X233" s="450"/>
      <c r="Y233" s="450"/>
      <c r="Z233" s="450"/>
      <c r="AA233" s="450"/>
      <c r="AB233" s="450"/>
      <c r="AC233" s="450"/>
      <c r="AD233" s="450"/>
      <c r="AE233" s="450"/>
      <c r="AF233" s="450"/>
      <c r="AG233" s="450"/>
      <c r="AH233" s="450"/>
      <c r="AI233" s="450"/>
      <c r="AJ233" s="450"/>
      <c r="AK233" s="450"/>
    </row>
    <row r="234" ht="18" customHeight="1" hidden="1"/>
    <row r="235" ht="18" customHeight="1" hidden="1"/>
    <row r="236" ht="18" customHeight="1" hidden="1"/>
    <row r="237" ht="18" customHeight="1" hidden="1"/>
    <row r="238" ht="18" customHeight="1" hidden="1"/>
    <row r="239" ht="18" customHeight="1" hidden="1"/>
    <row r="240" ht="18" customHeight="1" hidden="1"/>
    <row r="241" ht="18" customHeight="1" hidden="1"/>
    <row r="242" ht="18" customHeight="1" hidden="1"/>
    <row r="243" ht="18" customHeight="1" hidden="1"/>
    <row r="244" ht="18" customHeight="1" hidden="1"/>
    <row r="245" ht="18" customHeight="1" hidden="1"/>
    <row r="246" ht="18" customHeight="1" hidden="1"/>
    <row r="247" ht="18" customHeight="1" hidden="1"/>
    <row r="248" ht="18" customHeight="1" hidden="1"/>
    <row r="249" ht="18" customHeight="1" hidden="1"/>
    <row r="250" ht="18" customHeight="1" hidden="1"/>
    <row r="251" ht="18" customHeight="1" hidden="1"/>
    <row r="252" ht="18" customHeight="1" hidden="1"/>
    <row r="253" ht="18" customHeight="1" hidden="1"/>
    <row r="254" ht="18" customHeight="1" hidden="1"/>
    <row r="255" ht="18" customHeight="1" hidden="1"/>
    <row r="256" ht="18" customHeight="1" hidden="1"/>
    <row r="257" ht="18" customHeight="1" hidden="1"/>
    <row r="258" ht="18" customHeight="1" hidden="1"/>
  </sheetData>
  <sheetProtection password="EC14" sheet="1"/>
  <mergeCells count="95">
    <mergeCell ref="L93:L94"/>
    <mergeCell ref="K106:K108"/>
    <mergeCell ref="L106:L108"/>
    <mergeCell ref="K101:K102"/>
    <mergeCell ref="L101:L102"/>
    <mergeCell ref="K88:K89"/>
    <mergeCell ref="L88:L89"/>
    <mergeCell ref="K93:K94"/>
    <mergeCell ref="G69:H69"/>
    <mergeCell ref="G85:J85"/>
    <mergeCell ref="G101:J102"/>
    <mergeCell ref="K86:K87"/>
    <mergeCell ref="L86:L87"/>
    <mergeCell ref="B108:F108"/>
    <mergeCell ref="G105:J105"/>
    <mergeCell ref="G106:J108"/>
    <mergeCell ref="G103:J103"/>
    <mergeCell ref="G104:J104"/>
    <mergeCell ref="B32:L34"/>
    <mergeCell ref="B31:L31"/>
    <mergeCell ref="W67:Y67"/>
    <mergeCell ref="G73:H73"/>
    <mergeCell ref="G91:J91"/>
    <mergeCell ref="E74:F74"/>
    <mergeCell ref="K77:K79"/>
    <mergeCell ref="L77:L79"/>
    <mergeCell ref="G83:J83"/>
    <mergeCell ref="G75:H75"/>
    <mergeCell ref="F13:H13"/>
    <mergeCell ref="J13:K13"/>
    <mergeCell ref="M67:M68"/>
    <mergeCell ref="P18:P19"/>
    <mergeCell ref="I24:K24"/>
    <mergeCell ref="B5:L7"/>
    <mergeCell ref="L67:L68"/>
    <mergeCell ref="I67:I68"/>
    <mergeCell ref="F24:H24"/>
    <mergeCell ref="O18:O19"/>
    <mergeCell ref="D28:K28"/>
    <mergeCell ref="Q18:Q19"/>
    <mergeCell ref="C27:K27"/>
    <mergeCell ref="D24:E24"/>
    <mergeCell ref="I22:K22"/>
    <mergeCell ref="N18:N19"/>
    <mergeCell ref="I18:K18"/>
    <mergeCell ref="G99:J99"/>
    <mergeCell ref="B44:H44"/>
    <mergeCell ref="E55:F55"/>
    <mergeCell ref="B66:L66"/>
    <mergeCell ref="B55:C55"/>
    <mergeCell ref="G96:J96"/>
    <mergeCell ref="E72:F72"/>
    <mergeCell ref="G86:J87"/>
    <mergeCell ref="G92:J92"/>
    <mergeCell ref="G93:J94"/>
    <mergeCell ref="I17:K17"/>
    <mergeCell ref="F22:H22"/>
    <mergeCell ref="C17:G17"/>
    <mergeCell ref="C22:E22"/>
    <mergeCell ref="C42:I42"/>
    <mergeCell ref="G90:J90"/>
    <mergeCell ref="B40:E40"/>
    <mergeCell ref="E68:F68"/>
    <mergeCell ref="G80:J81"/>
    <mergeCell ref="E76:F76"/>
    <mergeCell ref="K110:L110"/>
    <mergeCell ref="E78:F78"/>
    <mergeCell ref="K80:K81"/>
    <mergeCell ref="G74:H74"/>
    <mergeCell ref="G95:J95"/>
    <mergeCell ref="B107:F107"/>
    <mergeCell ref="B100:D100"/>
    <mergeCell ref="B102:D102"/>
    <mergeCell ref="G100:J100"/>
    <mergeCell ref="L80:L81"/>
    <mergeCell ref="G76:H76"/>
    <mergeCell ref="G98:J98"/>
    <mergeCell ref="G97:J97"/>
    <mergeCell ref="G84:J84"/>
    <mergeCell ref="C57:I57"/>
    <mergeCell ref="E71:F71"/>
    <mergeCell ref="G71:H71"/>
    <mergeCell ref="B67:D67"/>
    <mergeCell ref="G68:H68"/>
    <mergeCell ref="E70:F70"/>
    <mergeCell ref="E69:F69"/>
    <mergeCell ref="G70:H70"/>
    <mergeCell ref="E67:H67"/>
    <mergeCell ref="D95:E95"/>
    <mergeCell ref="E73:F73"/>
    <mergeCell ref="G72:H72"/>
    <mergeCell ref="G82:J82"/>
    <mergeCell ref="B81:F82"/>
    <mergeCell ref="G88:J89"/>
    <mergeCell ref="E75:F75"/>
  </mergeCells>
  <conditionalFormatting sqref="K69:L74 I69:I74">
    <cfRule type="expression" priority="1" dxfId="0" stopIfTrue="1">
      <formula>OR($B69=0,$D69=0,$E69=0,$G69=0)</formula>
    </cfRule>
  </conditionalFormatting>
  <conditionalFormatting sqref="I75:I76">
    <cfRule type="expression" priority="3" dxfId="0" stopIfTrue="1">
      <formula>OR($B75=0,$D75=0,$E75=0,$H75=0)</formula>
    </cfRule>
  </conditionalFormatting>
  <conditionalFormatting sqref="K75:L76">
    <cfRule type="expression" priority="4" dxfId="0" stopIfTrue="1">
      <formula>OR($B75=0,$D75=0,$E75=0,$G75=0)</formula>
    </cfRule>
  </conditionalFormatting>
  <dataValidations count="9">
    <dataValidation type="list" allowBlank="1" showInputMessage="1" showErrorMessage="1" sqref="P10:P13 S10:T13 Q13 Q10:Q11">
      <formula1>$Y$4:$Y$5</formula1>
    </dataValidation>
    <dataValidation type="list" allowBlank="1" showInputMessage="1" showErrorMessage="1" sqref="S30">
      <formula1>IF($R30&lt;&gt;0,$AA$5:$AA$8,0)</formula1>
    </dataValidation>
    <dataValidation type="list" allowBlank="1" showInputMessage="1" showErrorMessage="1" sqref="Q21:Q28 R21">
      <formula1>IF($P21&lt;&gt;0,$AA$5:$AA$8,0)</formula1>
    </dataValidation>
    <dataValidation type="list" allowBlank="1" showInputMessage="1" showErrorMessage="1" sqref="I22">
      <formula1>$AJ$9:$AJ$121</formula1>
    </dataValidation>
    <dataValidation type="list" allowBlank="1" showInputMessage="1" showErrorMessage="1" sqref="B35:H37">
      <formula1>$R$29:$R$30</formula1>
    </dataValidation>
    <dataValidation type="list" allowBlank="1" showInputMessage="1" showErrorMessage="1" sqref="B32 I69:I76">
      <formula1>$P$22:$P$28</formula1>
    </dataValidation>
    <dataValidation type="list" allowBlank="1" showInputMessage="1" showErrorMessage="1" sqref="I17:K17">
      <formula1>$AE$6:$AE$7</formula1>
    </dataValidation>
    <dataValidation type="list" allowBlank="1" showInputMessage="1" showErrorMessage="1" sqref="R22:R28">
      <formula1>$R$31:$R$32</formula1>
    </dataValidation>
    <dataValidation type="list" allowBlank="1" showInputMessage="1" showErrorMessage="1" sqref="M69:M76">
      <formula1>$M$78:$M$79</formula1>
    </dataValidation>
  </dataValidations>
  <printOptions/>
  <pageMargins left="0.75" right="0.75" top="1" bottom="1" header="0.5" footer="0.5"/>
  <pageSetup horizontalDpi="600" verticalDpi="600" orientation="portrait" paperSize="9" scale="45" r:id="rId1"/>
  <headerFooter alignWithMargins="0">
    <oddFooter>&amp;CWzór formularza pobrany ze strony: www.verum.pl</oddFooter>
  </headerFooter>
  <colBreaks count="1" manualBreakCount="1">
    <brk id="13" min="1" max="9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B14"/>
  <sheetViews>
    <sheetView showGridLines="0" zoomScaleSheetLayoutView="100" zoomScalePageLayoutView="0" workbookViewId="0" topLeftCell="B5">
      <selection activeCell="C9" sqref="C9:C13"/>
    </sheetView>
  </sheetViews>
  <sheetFormatPr defaultColWidth="0" defaultRowHeight="12.75" zeroHeight="1"/>
  <cols>
    <col min="1" max="1" width="20.7109375" style="0" hidden="1" customWidth="1"/>
    <col min="2" max="2" width="12.7109375" style="0" customWidth="1"/>
    <col min="3" max="3" width="17.7109375" style="0" customWidth="1"/>
    <col min="4" max="4" width="15.7109375" style="0" customWidth="1"/>
    <col min="5" max="11" width="6.57421875" style="0" hidden="1" customWidth="1"/>
    <col min="12" max="12" width="8.7109375" style="0" customWidth="1"/>
    <col min="13" max="26" width="3.7109375" style="0" customWidth="1"/>
    <col min="27" max="27" width="5.00390625" style="0" customWidth="1"/>
    <col min="28" max="28" width="13.28125" style="0" customWidth="1"/>
    <col min="29" max="29" width="16.8515625" style="0" hidden="1" customWidth="1"/>
    <col min="30" max="30" width="12.7109375" style="5" hidden="1" customWidth="1"/>
    <col min="31" max="31" width="15.7109375" style="0" hidden="1" customWidth="1"/>
    <col min="32" max="38" width="6.57421875" style="0" hidden="1" customWidth="1"/>
    <col min="39" max="39" width="8.28125" style="0" hidden="1" customWidth="1"/>
    <col min="40" max="40" width="8.7109375" style="0" hidden="1" customWidth="1"/>
    <col min="41" max="46" width="3.7109375" style="0" hidden="1" customWidth="1"/>
    <col min="47" max="47" width="5.57421875" style="0" hidden="1" customWidth="1"/>
    <col min="48" max="56" width="14.28125" style="0" hidden="1" customWidth="1"/>
    <col min="57" max="57" width="4.8515625" style="0" hidden="1" customWidth="1"/>
    <col min="58" max="58" width="13.7109375" style="0" hidden="1" customWidth="1"/>
    <col min="59" max="59" width="16.8515625" style="0" hidden="1" customWidth="1"/>
    <col min="60" max="61" width="15.8515625" style="0" hidden="1" customWidth="1"/>
    <col min="62" max="62" width="5.8515625" style="0" customWidth="1"/>
    <col min="63" max="63" width="31.00390625" style="0" hidden="1" customWidth="1"/>
    <col min="64" max="66" width="9.28125" style="0" hidden="1" customWidth="1"/>
    <col min="67" max="68" width="10.140625" style="0" hidden="1" customWidth="1"/>
    <col min="69" max="70" width="12.7109375" style="0" hidden="1" customWidth="1"/>
    <col min="71" max="71" width="13.8515625" style="0" hidden="1" customWidth="1"/>
    <col min="72" max="72" width="16.28125" style="0" hidden="1" customWidth="1"/>
    <col min="73" max="73" width="14.57421875" style="0" hidden="1" customWidth="1"/>
    <col min="74" max="74" width="15.00390625" style="0" hidden="1" customWidth="1"/>
    <col min="75" max="75" width="14.57421875" style="0" hidden="1" customWidth="1"/>
    <col min="76" max="76" width="18.00390625" style="0" hidden="1" customWidth="1"/>
    <col min="77" max="77" width="15.140625" style="0" hidden="1" customWidth="1"/>
    <col min="78" max="78" width="4.57421875" style="0" hidden="1" customWidth="1"/>
    <col min="79" max="79" width="12.140625" style="0" hidden="1" customWidth="1"/>
    <col min="80" max="80" width="15.421875" style="0" hidden="1" customWidth="1"/>
    <col min="81" max="81" width="11.57421875" style="0" hidden="1" customWidth="1"/>
    <col min="82" max="82" width="15.00390625" style="0" hidden="1" customWidth="1"/>
    <col min="83" max="83" width="11.421875" style="0" hidden="1" customWidth="1"/>
    <col min="84" max="85" width="13.28125" style="0" hidden="1" customWidth="1"/>
    <col min="86" max="86" width="14.8515625" style="0" hidden="1" customWidth="1"/>
    <col min="87" max="88" width="15.140625" style="0" hidden="1" customWidth="1"/>
    <col min="89" max="89" width="15.00390625" style="0" hidden="1" customWidth="1"/>
    <col min="90" max="90" width="15.57421875" style="0" hidden="1" customWidth="1"/>
    <col min="91" max="91" width="14.57421875" style="0" hidden="1" customWidth="1"/>
    <col min="92" max="92" width="11.00390625" style="0" hidden="1" customWidth="1"/>
    <col min="93" max="93" width="11.7109375" style="0" hidden="1" customWidth="1"/>
    <col min="94" max="94" width="10.140625" style="0" hidden="1" customWidth="1"/>
    <col min="95" max="95" width="0" style="0" hidden="1" customWidth="1"/>
    <col min="96" max="96" width="10.28125" style="0" hidden="1" customWidth="1"/>
    <col min="97" max="97" width="13.28125" style="0" hidden="1" customWidth="1"/>
    <col min="98" max="98" width="17.8515625" style="0" hidden="1" customWidth="1"/>
    <col min="99" max="99" width="10.140625" style="0" hidden="1" customWidth="1"/>
    <col min="100" max="100" width="12.8515625" style="0" hidden="1" customWidth="1"/>
    <col min="101" max="101" width="15.57421875" style="0" hidden="1" customWidth="1"/>
    <col min="102" max="102" width="12.00390625" style="0" hidden="1" customWidth="1"/>
    <col min="103" max="103" width="14.7109375" style="0" hidden="1" customWidth="1"/>
    <col min="104" max="104" width="14.8515625" style="0" hidden="1" customWidth="1"/>
    <col min="105" max="105" width="18.7109375" style="0" hidden="1" customWidth="1"/>
    <col min="106" max="106" width="11.140625" style="0" hidden="1" customWidth="1"/>
    <col min="107" max="16384" width="0" style="0" hidden="1" customWidth="1"/>
  </cols>
  <sheetData>
    <row r="1" spans="1:106" ht="18.75" hidden="1">
      <c r="A1" s="720"/>
      <c r="B1" s="720"/>
      <c r="C1" s="720"/>
      <c r="D1" s="720"/>
      <c r="BK1" s="5"/>
      <c r="BS1" s="5">
        <v>2</v>
      </c>
      <c r="BT1" s="5">
        <v>3</v>
      </c>
      <c r="BU1" s="5">
        <v>4</v>
      </c>
      <c r="BV1" s="5">
        <v>5</v>
      </c>
      <c r="BW1" s="5">
        <v>6</v>
      </c>
      <c r="BX1" s="5">
        <v>7</v>
      </c>
      <c r="BY1" s="5">
        <v>8</v>
      </c>
      <c r="BZ1" s="5">
        <v>9</v>
      </c>
      <c r="CA1" s="5">
        <v>10</v>
      </c>
      <c r="CB1" s="5">
        <v>11</v>
      </c>
      <c r="CC1" s="5">
        <v>12</v>
      </c>
      <c r="CD1" s="5">
        <v>13</v>
      </c>
      <c r="CE1" s="5">
        <v>14</v>
      </c>
      <c r="CF1" s="5">
        <v>15</v>
      </c>
      <c r="CG1" s="5">
        <v>16</v>
      </c>
      <c r="CH1" s="5">
        <v>17</v>
      </c>
      <c r="CI1" s="5">
        <v>18</v>
      </c>
      <c r="CJ1" s="5">
        <v>19</v>
      </c>
      <c r="CK1" s="5">
        <v>20</v>
      </c>
      <c r="CL1" s="5">
        <v>21</v>
      </c>
      <c r="CM1" s="5">
        <v>22</v>
      </c>
      <c r="CN1" s="5">
        <v>23</v>
      </c>
      <c r="CO1" s="5">
        <v>24</v>
      </c>
      <c r="CP1" s="5">
        <v>25</v>
      </c>
      <c r="CQ1" s="5">
        <v>26</v>
      </c>
      <c r="CR1" s="107">
        <v>27</v>
      </c>
      <c r="CS1" s="5">
        <v>28</v>
      </c>
      <c r="CT1" s="5">
        <v>29</v>
      </c>
      <c r="CU1" s="5">
        <v>30</v>
      </c>
      <c r="CV1" s="5">
        <v>31</v>
      </c>
      <c r="CW1" s="5">
        <v>32</v>
      </c>
      <c r="CX1" s="5">
        <v>33</v>
      </c>
      <c r="CY1" s="5">
        <v>34</v>
      </c>
      <c r="CZ1" s="5">
        <v>35</v>
      </c>
      <c r="DA1" s="5">
        <v>36</v>
      </c>
      <c r="DB1" s="5">
        <v>37</v>
      </c>
    </row>
    <row r="2" spans="1:106" s="40" customFormat="1" ht="12.75" hidden="1">
      <c r="A2" s="714" t="s">
        <v>365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25"/>
      <c r="AF2" s="725"/>
      <c r="AG2" s="725"/>
      <c r="AH2" s="725"/>
      <c r="AI2" s="725"/>
      <c r="AJ2" s="725"/>
      <c r="AK2" s="725"/>
      <c r="AL2" s="725"/>
      <c r="AM2" s="725"/>
      <c r="AN2" s="725"/>
      <c r="AO2" s="725"/>
      <c r="AP2" s="725"/>
      <c r="AQ2" s="725"/>
      <c r="AR2" s="725"/>
      <c r="AS2" s="725"/>
      <c r="AT2" s="725"/>
      <c r="AU2" s="725"/>
      <c r="AV2" s="725"/>
      <c r="AW2" s="725"/>
      <c r="AX2" s="725"/>
      <c r="AY2" s="725"/>
      <c r="AZ2" s="725"/>
      <c r="BA2" s="725"/>
      <c r="BB2" s="725"/>
      <c r="BC2" s="725"/>
      <c r="BD2" s="725"/>
      <c r="BE2" s="725"/>
      <c r="BF2" s="725"/>
      <c r="BG2" s="725"/>
      <c r="BH2" s="725"/>
      <c r="BI2" s="59"/>
      <c r="BJ2" s="59"/>
      <c r="BK2" s="300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  <c r="CP2" s="345"/>
      <c r="CQ2" s="345"/>
      <c r="CR2" s="346"/>
      <c r="CS2" s="345"/>
      <c r="CT2" s="345"/>
      <c r="CU2" s="345"/>
      <c r="CV2" s="345"/>
      <c r="CW2" s="345"/>
      <c r="CX2" s="345"/>
      <c r="CY2" s="345"/>
      <c r="CZ2" s="345"/>
      <c r="DA2" s="345"/>
      <c r="DB2" s="345"/>
    </row>
    <row r="3" spans="1:106" s="40" customFormat="1" ht="12.75" hidden="1">
      <c r="A3" s="714" t="s">
        <v>366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4"/>
      <c r="AA3" s="714"/>
      <c r="AB3" s="714"/>
      <c r="AC3" s="714"/>
      <c r="AD3" s="714"/>
      <c r="AE3" s="296" t="s">
        <v>367</v>
      </c>
      <c r="AF3" s="296"/>
      <c r="AG3" s="296"/>
      <c r="AH3" s="296"/>
      <c r="AI3" s="296"/>
      <c r="AJ3" s="296"/>
      <c r="AK3" s="296"/>
      <c r="AL3" s="296"/>
      <c r="AM3" s="296"/>
      <c r="AN3" s="296">
        <v>2008</v>
      </c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347"/>
      <c r="BG3" s="347"/>
      <c r="BH3" s="347"/>
      <c r="BI3" s="59"/>
      <c r="BJ3" s="59"/>
      <c r="BK3" s="300"/>
      <c r="BM3" s="40" t="s">
        <v>368</v>
      </c>
      <c r="BS3" s="348" t="s">
        <v>270</v>
      </c>
      <c r="BT3" s="348" t="s">
        <v>271</v>
      </c>
      <c r="BU3" s="348" t="s">
        <v>272</v>
      </c>
      <c r="BV3" s="348" t="s">
        <v>273</v>
      </c>
      <c r="BW3" s="348" t="s">
        <v>274</v>
      </c>
      <c r="BX3" s="348" t="s">
        <v>275</v>
      </c>
      <c r="BY3" s="348" t="s">
        <v>276</v>
      </c>
      <c r="BZ3" s="348" t="s">
        <v>277</v>
      </c>
      <c r="CA3" s="348" t="s">
        <v>278</v>
      </c>
      <c r="CB3" s="348" t="s">
        <v>279</v>
      </c>
      <c r="CC3" s="348" t="s">
        <v>280</v>
      </c>
      <c r="CD3" s="348" t="s">
        <v>281</v>
      </c>
      <c r="CE3" s="348" t="s">
        <v>282</v>
      </c>
      <c r="CF3" s="348" t="s">
        <v>283</v>
      </c>
      <c r="CG3" s="348" t="s">
        <v>284</v>
      </c>
      <c r="CH3" s="348" t="s">
        <v>285</v>
      </c>
      <c r="CI3" s="348" t="s">
        <v>286</v>
      </c>
      <c r="CJ3" s="348" t="s">
        <v>287</v>
      </c>
      <c r="CK3" s="348" t="s">
        <v>288</v>
      </c>
      <c r="CL3" s="348" t="s">
        <v>289</v>
      </c>
      <c r="CM3" s="348" t="s">
        <v>290</v>
      </c>
      <c r="CN3" s="348" t="s">
        <v>291</v>
      </c>
      <c r="CO3" s="348" t="s">
        <v>292</v>
      </c>
      <c r="CP3" s="348" t="s">
        <v>293</v>
      </c>
      <c r="CQ3" s="348" t="s">
        <v>294</v>
      </c>
      <c r="CR3" s="349" t="s">
        <v>295</v>
      </c>
      <c r="CS3" s="348" t="s">
        <v>296</v>
      </c>
      <c r="CT3" s="348" t="s">
        <v>297</v>
      </c>
      <c r="CU3" s="348" t="s">
        <v>298</v>
      </c>
      <c r="CV3" s="348" t="s">
        <v>299</v>
      </c>
      <c r="CW3" s="348" t="s">
        <v>300</v>
      </c>
      <c r="CX3" s="348" t="s">
        <v>301</v>
      </c>
      <c r="CY3" s="348" t="s">
        <v>302</v>
      </c>
      <c r="CZ3" s="348" t="s">
        <v>303</v>
      </c>
      <c r="DA3" s="348" t="s">
        <v>304</v>
      </c>
      <c r="DB3" s="348" t="s">
        <v>305</v>
      </c>
    </row>
    <row r="4" spans="1:96" s="40" customFormat="1" ht="12.75" hidden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296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7"/>
      <c r="BI4" s="59"/>
      <c r="BJ4" s="59"/>
      <c r="BK4" s="300"/>
      <c r="BM4" s="40" t="s">
        <v>369</v>
      </c>
      <c r="CR4" s="41"/>
    </row>
    <row r="5" spans="1:96" s="40" customFormat="1" ht="12.75">
      <c r="A5" s="343"/>
      <c r="B5" s="343"/>
      <c r="C5" s="343"/>
      <c r="D5" s="350"/>
      <c r="E5" s="350"/>
      <c r="F5" s="350"/>
      <c r="G5" s="350"/>
      <c r="H5" s="350"/>
      <c r="I5" s="350"/>
      <c r="J5" s="350"/>
      <c r="K5" s="350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350"/>
      <c r="AD5" s="300"/>
      <c r="AE5" s="350"/>
      <c r="AF5" s="350"/>
      <c r="AG5" s="350"/>
      <c r="AH5" s="350"/>
      <c r="AI5" s="350"/>
      <c r="AJ5" s="350"/>
      <c r="AK5" s="350"/>
      <c r="AL5" s="350"/>
      <c r="AM5" s="350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350"/>
      <c r="BH5" s="351"/>
      <c r="BI5" s="59"/>
      <c r="BJ5" s="59"/>
      <c r="BK5" s="300"/>
      <c r="CR5" s="41"/>
    </row>
    <row r="6" spans="1:106" s="40" customFormat="1" ht="36.75" customHeight="1" hidden="1">
      <c r="A6" s="726" t="s">
        <v>370</v>
      </c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7"/>
      <c r="AC6" s="728"/>
      <c r="AD6" s="729" t="s">
        <v>371</v>
      </c>
      <c r="AE6" s="713"/>
      <c r="AF6" s="713"/>
      <c r="AG6" s="713"/>
      <c r="AH6" s="713"/>
      <c r="AI6" s="713"/>
      <c r="AJ6" s="713"/>
      <c r="AK6" s="713"/>
      <c r="AL6" s="713"/>
      <c r="AM6" s="713"/>
      <c r="AN6" s="713"/>
      <c r="AO6" s="713"/>
      <c r="AP6" s="713"/>
      <c r="AQ6" s="713"/>
      <c r="AR6" s="713"/>
      <c r="AS6" s="713"/>
      <c r="AT6" s="713"/>
      <c r="AU6" s="713"/>
      <c r="AV6" s="713"/>
      <c r="AW6" s="713"/>
      <c r="AX6" s="713"/>
      <c r="AY6" s="713"/>
      <c r="AZ6" s="713"/>
      <c r="BA6" s="713"/>
      <c r="BB6" s="713"/>
      <c r="BC6" s="713"/>
      <c r="BD6" s="713"/>
      <c r="BE6" s="713"/>
      <c r="BF6" s="713"/>
      <c r="BG6" s="713"/>
      <c r="BH6" s="713" t="s">
        <v>372</v>
      </c>
      <c r="BI6" s="713"/>
      <c r="BJ6" s="59"/>
      <c r="BK6" s="352" t="s">
        <v>369</v>
      </c>
      <c r="BQ6" s="353" t="e">
        <f>IF(ISNA(VLOOKUP(#REF!,BT9:BX14,4,FALSE))=TRUE,"0,00",VLOOKUP(#REF!,BT9:BX14,4,FALSE))</f>
        <v>#REF!</v>
      </c>
      <c r="BR6" s="354" t="e">
        <f>IF(ISNA(VLOOKUP(#REF!,BT9:BX14,5,FALSE))=TRUE,"0,00",VLOOKUP(#REF!,BT9:BX14,5,FALSE))</f>
        <v>#REF!</v>
      </c>
      <c r="BS6" s="345"/>
      <c r="BT6" s="345"/>
      <c r="BU6" s="345"/>
      <c r="BV6" s="345"/>
      <c r="BW6" s="355"/>
      <c r="BX6" s="345"/>
      <c r="BY6" s="345"/>
      <c r="BZ6" s="345"/>
      <c r="CA6" s="345"/>
      <c r="CB6" s="345"/>
      <c r="CC6" s="345"/>
      <c r="CD6" s="345"/>
      <c r="CE6" s="345"/>
      <c r="CF6" s="345"/>
      <c r="CG6" s="345"/>
      <c r="CH6" s="345"/>
      <c r="CI6" s="345"/>
      <c r="CJ6" s="345"/>
      <c r="CK6" s="345"/>
      <c r="CL6" s="345"/>
      <c r="CM6" s="345"/>
      <c r="CN6" s="345"/>
      <c r="CO6" s="345"/>
      <c r="CP6" s="345"/>
      <c r="CQ6" s="345"/>
      <c r="CR6" s="346"/>
      <c r="CS6" s="345"/>
      <c r="CT6" s="345"/>
      <c r="CU6" s="345"/>
      <c r="CV6" s="345"/>
      <c r="CW6" s="345"/>
      <c r="CX6" s="345"/>
      <c r="CY6" s="345"/>
      <c r="CZ6" s="345"/>
      <c r="DA6" s="345"/>
      <c r="DB6" s="345"/>
    </row>
    <row r="7" spans="1:96" s="40" customFormat="1" ht="39.75" customHeight="1">
      <c r="A7" s="356" t="s">
        <v>373</v>
      </c>
      <c r="B7" s="356" t="s">
        <v>374</v>
      </c>
      <c r="C7" s="356" t="s">
        <v>375</v>
      </c>
      <c r="D7" s="357" t="s">
        <v>376</v>
      </c>
      <c r="E7" s="358">
        <v>1</v>
      </c>
      <c r="F7" s="358">
        <v>2</v>
      </c>
      <c r="G7" s="358">
        <v>3</v>
      </c>
      <c r="H7" s="358">
        <v>4</v>
      </c>
      <c r="I7" s="358">
        <v>5</v>
      </c>
      <c r="J7" s="358">
        <v>6</v>
      </c>
      <c r="K7" s="358">
        <v>7</v>
      </c>
      <c r="L7" s="359" t="s">
        <v>377</v>
      </c>
      <c r="M7" s="359">
        <v>1</v>
      </c>
      <c r="N7" s="360">
        <v>2</v>
      </c>
      <c r="O7" s="360">
        <v>3</v>
      </c>
      <c r="P7" s="360">
        <v>4</v>
      </c>
      <c r="Q7" s="360">
        <v>5</v>
      </c>
      <c r="R7" s="360">
        <v>6</v>
      </c>
      <c r="S7" s="360">
        <v>7</v>
      </c>
      <c r="T7" s="360">
        <v>1</v>
      </c>
      <c r="U7" s="360">
        <v>2</v>
      </c>
      <c r="V7" s="360">
        <v>3</v>
      </c>
      <c r="W7" s="360">
        <v>4</v>
      </c>
      <c r="X7" s="360">
        <v>5</v>
      </c>
      <c r="Y7" s="360">
        <v>6</v>
      </c>
      <c r="Z7" s="360">
        <v>7</v>
      </c>
      <c r="AA7" s="702" t="s">
        <v>378</v>
      </c>
      <c r="AB7" s="703"/>
      <c r="AC7" s="361" t="s">
        <v>393</v>
      </c>
      <c r="AD7" s="362" t="s">
        <v>374</v>
      </c>
      <c r="AE7" s="356" t="s">
        <v>376</v>
      </c>
      <c r="AF7" s="356">
        <v>1</v>
      </c>
      <c r="AG7" s="356">
        <v>2</v>
      </c>
      <c r="AH7" s="356">
        <v>3</v>
      </c>
      <c r="AI7" s="356">
        <v>4</v>
      </c>
      <c r="AJ7" s="356">
        <v>5</v>
      </c>
      <c r="AK7" s="356">
        <v>6</v>
      </c>
      <c r="AL7" s="356">
        <v>7</v>
      </c>
      <c r="AM7" s="356"/>
      <c r="AN7" s="356" t="s">
        <v>377</v>
      </c>
      <c r="AO7" s="363">
        <v>1</v>
      </c>
      <c r="AP7" s="363">
        <v>2</v>
      </c>
      <c r="AQ7" s="363">
        <v>3</v>
      </c>
      <c r="AR7" s="363">
        <v>4</v>
      </c>
      <c r="AS7" s="363">
        <v>5</v>
      </c>
      <c r="AT7" s="363">
        <v>6</v>
      </c>
      <c r="AU7" s="363">
        <v>7</v>
      </c>
      <c r="AV7" s="363">
        <v>1</v>
      </c>
      <c r="AW7" s="363">
        <v>2</v>
      </c>
      <c r="AX7" s="363">
        <v>3</v>
      </c>
      <c r="AY7" s="363">
        <v>4</v>
      </c>
      <c r="AZ7" s="363">
        <v>5</v>
      </c>
      <c r="BA7" s="363">
        <v>6</v>
      </c>
      <c r="BB7" s="363">
        <v>7</v>
      </c>
      <c r="BC7" s="363"/>
      <c r="BD7" s="363"/>
      <c r="BE7" s="709" t="s">
        <v>378</v>
      </c>
      <c r="BF7" s="710"/>
      <c r="BG7" s="357" t="s">
        <v>394</v>
      </c>
      <c r="BH7" s="364" t="s">
        <v>395</v>
      </c>
      <c r="BI7" s="364" t="s">
        <v>396</v>
      </c>
      <c r="BJ7" s="59"/>
      <c r="BK7" s="365" t="s">
        <v>379</v>
      </c>
      <c r="BO7" s="40" t="s">
        <v>380</v>
      </c>
      <c r="BP7" s="40" t="s">
        <v>381</v>
      </c>
      <c r="BQ7" s="697" t="s">
        <v>382</v>
      </c>
      <c r="BR7" s="697" t="s">
        <v>383</v>
      </c>
      <c r="BS7" s="697" t="s">
        <v>384</v>
      </c>
      <c r="BU7" s="345"/>
      <c r="CR7" s="41"/>
    </row>
    <row r="8" spans="1:71" s="40" customFormat="1" ht="13.5" customHeight="1">
      <c r="A8" s="366">
        <v>1</v>
      </c>
      <c r="B8" s="366">
        <v>2</v>
      </c>
      <c r="C8" s="366">
        <v>3</v>
      </c>
      <c r="D8" s="367">
        <v>4</v>
      </c>
      <c r="E8" s="678" t="s">
        <v>377</v>
      </c>
      <c r="F8" s="679"/>
      <c r="G8" s="679"/>
      <c r="H8" s="679"/>
      <c r="I8" s="679"/>
      <c r="J8" s="679"/>
      <c r="K8" s="680"/>
      <c r="L8" s="367">
        <v>5</v>
      </c>
      <c r="M8" s="704" t="s">
        <v>385</v>
      </c>
      <c r="N8" s="715"/>
      <c r="O8" s="715"/>
      <c r="P8" s="715"/>
      <c r="Q8" s="715"/>
      <c r="R8" s="715"/>
      <c r="S8" s="705"/>
      <c r="T8" s="704" t="s">
        <v>386</v>
      </c>
      <c r="U8" s="715"/>
      <c r="V8" s="715"/>
      <c r="W8" s="715"/>
      <c r="X8" s="715"/>
      <c r="Y8" s="715"/>
      <c r="Z8" s="705"/>
      <c r="AA8" s="704">
        <v>6</v>
      </c>
      <c r="AB8" s="705"/>
      <c r="AC8" s="369">
        <v>7</v>
      </c>
      <c r="AD8" s="370">
        <v>8</v>
      </c>
      <c r="AE8" s="366">
        <v>9</v>
      </c>
      <c r="AF8" s="366"/>
      <c r="AG8" s="366"/>
      <c r="AH8" s="366"/>
      <c r="AI8" s="366"/>
      <c r="AJ8" s="366"/>
      <c r="AK8" s="366"/>
      <c r="AL8" s="366"/>
      <c r="AM8" s="366"/>
      <c r="AN8" s="366">
        <v>10</v>
      </c>
      <c r="AO8" s="704" t="s">
        <v>385</v>
      </c>
      <c r="AP8" s="715"/>
      <c r="AQ8" s="715"/>
      <c r="AR8" s="715"/>
      <c r="AS8" s="715"/>
      <c r="AT8" s="715"/>
      <c r="AU8" s="705"/>
      <c r="AV8" s="704" t="s">
        <v>386</v>
      </c>
      <c r="AW8" s="715"/>
      <c r="AX8" s="715"/>
      <c r="AY8" s="715"/>
      <c r="AZ8" s="715"/>
      <c r="BA8" s="715"/>
      <c r="BB8" s="705"/>
      <c r="BC8" s="368"/>
      <c r="BD8" s="368"/>
      <c r="BE8" s="711">
        <v>11</v>
      </c>
      <c r="BF8" s="712"/>
      <c r="BG8" s="366">
        <v>12</v>
      </c>
      <c r="BH8" s="371">
        <v>13</v>
      </c>
      <c r="BI8" s="371">
        <v>14</v>
      </c>
      <c r="BJ8" s="59"/>
      <c r="BK8" s="372" t="s">
        <v>387</v>
      </c>
      <c r="BQ8" s="698"/>
      <c r="BR8" s="698"/>
      <c r="BS8" s="698"/>
    </row>
    <row r="9" spans="1:78" s="40" customFormat="1" ht="76.5" customHeight="1">
      <c r="A9" s="695"/>
      <c r="B9" s="719">
        <f>'delegacja zagraniczna - verum'!E102</f>
        <v>40952</v>
      </c>
      <c r="C9" s="716" t="str">
        <f>'delegacja zagraniczna - verum'!AL122</f>
        <v>EURO</v>
      </c>
      <c r="D9" s="373">
        <v>0</v>
      </c>
      <c r="E9" s="672">
        <f>IF(ISNA(VLOOKUP(B9-1,srednie!$A$4:$AN$976,BN9,FALSE))=TRUE,0,VLOOKUP(B9-1,srednie!$A$4:$AN$976,BN9,FALSE))</f>
        <v>0</v>
      </c>
      <c r="F9" s="672">
        <f>IF(ISNA(VLOOKUP(B9-2,srednie!$A$4:$AN$976,BN9,FALSE))=TRUE,0,VLOOKUP(B9-2,srednie!$A$4:$AN$976,BN9,FALSE))</f>
        <v>0</v>
      </c>
      <c r="G9" s="672">
        <f>IF(ISNA(VLOOKUP(B9-3,srednie!$A$4:$AN$976,BN9,FALSE))=TRUE,0,VLOOKUP(B9-3,srednie!$A$4:$AN$976,BN9,FALSE))</f>
        <v>4.2048</v>
      </c>
      <c r="H9" s="672">
        <f>IF(ISNA(VLOOKUP(B9-4,srednie!$A$4:$AN$976,BN9,FALSE))=TRUE,0,VLOOKUP(B9-4,srednie!$A$4:$AN$976,BN9,FALSE))</f>
        <v>4.1769</v>
      </c>
      <c r="I9" s="672">
        <f>IF(ISNA(VLOOKUP(B9-5,srednie!$A$4:$AN$976,BN9,FALSE))=TRUE,0,VLOOKUP(B9-5,srednie!$A$4:$AN$976,BN9,FALSE))</f>
        <v>4.171</v>
      </c>
      <c r="J9" s="672">
        <f>IF(ISNA(VLOOKUP(B9-6,srednie!$A$4:$AN$976,BN9,FALSE))=TRUE,0,VLOOKUP(B9-6,srednie!$A$4:$AN$976,BN9,FALSE))</f>
        <v>4.1818</v>
      </c>
      <c r="K9" s="672">
        <f>IF(ISNA(VLOOKUP(B9-7,srednie!$A$4:$AN$976,BN9,FALSE))=TRUE,0,VLOOKUP(B9-7,srednie!$A$4:$AN$976,BN9,FALSE))</f>
        <v>4.1837</v>
      </c>
      <c r="L9" s="686">
        <f>IF(AND(C9&lt;&gt;"",B9&lt;&gt;""),IF(E9&gt;0,E9,0)+IF(AND(E9=0,F9&gt;0),F9,0)+IF(AND(E9=0,F9=0,G9&gt;0),G9,0)+IF(AND(E9=0,F9=0,G9=0,H9&gt;0),H9,0)+IF(AND(E9=0,F9=0,G9=0,H9=0,I9&gt;0),I9,0)+IF(AND(E9=0,F9=0,G9=0,H9=0,I9=0,J9&gt;0),J9,0)+IF(AND(E9=0,F9=0,G9=0,H9=0,I9=0,J9=0,K9&gt;0),K9,0),0)</f>
        <v>4.2048</v>
      </c>
      <c r="M9" s="689">
        <f>IF(ISNA(VLOOKUP(B9-1,srednie!$A$4:$AN$976,38,FALSE))=TRUE,0,VLOOKUP(B9-1,srednie!$A$4:$AN$976,38,FALSE))</f>
        <v>0</v>
      </c>
      <c r="N9" s="689">
        <f>IF(ISNA(VLOOKUP(B9-2,srednie!$A$4:$AN$976,38,FALSE))=TRUE,0,VLOOKUP(B9-2,srednie!$A$4:$AN$976,38,FALSE))</f>
        <v>0</v>
      </c>
      <c r="O9" s="689">
        <f>IF(ISNA(VLOOKUP(B9-3,srednie!$A$4:$AN$976,38,FALSE))=TRUE,0,VLOOKUP(B9-3,srednie!$A$4:$AN$976,38,FALSE))</f>
        <v>29</v>
      </c>
      <c r="P9" s="689">
        <f>IF(ISNA(VLOOKUP(B9-4,srednie!$A$4:$AN$976,38,FALSE))=TRUE,0,VLOOKUP(B9-4,srednie!$A$4:$AN$976,38,FALSE))</f>
        <v>28</v>
      </c>
      <c r="Q9" s="689">
        <f>IF(ISNA(VLOOKUP(B9-5,srednie!$A$4:$AN$976,38,FALSE))=TRUE,0,VLOOKUP(B9-5,srednie!$A$4:$AN$976,38,FALSE))</f>
        <v>27</v>
      </c>
      <c r="R9" s="689">
        <f>IF(ISNA(VLOOKUP(B9-6,srednie!$A$4:$AN$976,38,FALSE))=TRUE,0,VLOOKUP(B9-6,srednie!$A$4:$AN$976,38,FALSE))</f>
        <v>26</v>
      </c>
      <c r="S9" s="692">
        <f>IF(ISNA(VLOOKUP(B9-7,srednie!$A$4:$AN$976,38,FALSE))=TRUE,0,VLOOKUP(B9-7,srednie!$A$4:$AN$976,38,FALSE))</f>
        <v>25</v>
      </c>
      <c r="T9" s="675">
        <f>IF(AA9=M9,VLOOKUP(B9-1,srednie!$A$4:$AN$976,39,TRUE),0)</f>
        <v>0</v>
      </c>
      <c r="U9" s="669">
        <f>IF(AND(AA9=N9,T9=0),VLOOKUP(B9-2,srednie!$A$4:$AN$976,39,TRUE),T9)</f>
        <v>0</v>
      </c>
      <c r="V9" s="669" t="str">
        <f>IF(AND(AA9=O9,U9=0),VLOOKUP(B9-3,srednie!$A$4:$AN$976,39,TRUE),U9)</f>
        <v>/A/NBP/2012</v>
      </c>
      <c r="W9" s="683" t="str">
        <f>IF(AND(AA9=P9,V9=0),VLOOKUP(B9-4,srednie!$A$4:$AN$976,39,TRUE),V9)</f>
        <v>/A/NBP/2012</v>
      </c>
      <c r="X9" s="683" t="str">
        <f>IF(AND(AA9=Q9,W9=0),VLOOKUP(B9-5,srednie!$A$4:$AN$976,39,TRUE),W9)</f>
        <v>/A/NBP/2012</v>
      </c>
      <c r="Y9" s="683" t="str">
        <f>IF(AND(AA9=R9,X9=0),VLOOKUP(B9-6,srednie!$A$4:$AN$976,39,TRUE),X9)</f>
        <v>/A/NBP/2012</v>
      </c>
      <c r="Z9" s="683" t="str">
        <f>IF(AND(AA9=S9,Y9=0),VLOOKUP(B9-7,srednie!$A$4:$AN$976,39,TRUE),Y9)</f>
        <v>/A/NBP/2012</v>
      </c>
      <c r="AA9" s="699">
        <f>IF(M9&gt;0,M9,0)+IF(AND(M9=0,N9&gt;0),N9,0)+IF(AND(M9=0,N9=0,O9&gt;0),O9,0)+IF(AND(M9=0,N9=0,O9=0,P9&gt;0),P9,0)+IF(AND(M9=0,N9=0,O9=0,P9=0,Q9&gt;0),Q9,0)+IF(AND(M9=0,N9=0,O9=0,P9=0,Q9=0,R9&gt;0),R9,0)+IF(AND(M9=0,N9=0,O9=0,P9=0,Q9=0,R9=0,S9&gt;0),S9,0)</f>
        <v>29</v>
      </c>
      <c r="AB9" s="706" t="str">
        <f>IF(B9&lt;&gt;0,Z9," - ")</f>
        <v>/A/NBP/2012</v>
      </c>
      <c r="AC9" s="374">
        <f>D9*L9</f>
        <v>0</v>
      </c>
      <c r="AD9" s="375"/>
      <c r="AE9" s="373">
        <v>0</v>
      </c>
      <c r="AF9" s="376">
        <f>IF(ISNA(VLOOKUP(AD9-1,srednie!$A$4:$AN$976,BN9,FALSE))=TRUE,0,VLOOKUP(AD9-1,srednie!$A$4:$AN$976,BN9,FALSE))</f>
        <v>0</v>
      </c>
      <c r="AG9" s="376">
        <f>IF(ISNA(VLOOKUP(AD9-2,srednie!$A$4:$AN$976,BN9,FALSE))=TRUE,0,VLOOKUP(AD9-2,srednie!$A$4:$AN$976,BN9,FALSE))</f>
        <v>0</v>
      </c>
      <c r="AH9" s="376">
        <f>IF(ISNA(VLOOKUP(AD9-3,srednie!$A$4:$AN$976,BN9,FALSE))=TRUE,0,VLOOKUP(AD9-3,srednie!$A$4:$AN$976,BN9,FALSE))</f>
        <v>0</v>
      </c>
      <c r="AI9" s="376">
        <f>IF(ISNA(VLOOKUP(AD9-4,srednie!$A$4:$AN$976,BN9,FALSE))=TRUE,0,VLOOKUP(AD9-4,srednie!$A$4:$AN$976,BN9,FALSE))</f>
        <v>0</v>
      </c>
      <c r="AJ9" s="376">
        <f>IF(ISNA(VLOOKUP(AD9-5,srednie!$A$4:$AN$976,BN9,FALSE))=TRUE,0,VLOOKUP(AD9-5,srednie!$A$4:$AN$976,BN9,FALSE))</f>
        <v>0</v>
      </c>
      <c r="AK9" s="376">
        <f>IF(ISNA(VLOOKUP(AD9-6,srednie!$A$4:$AN$976,BN9,FALSE))=TRUE,0,VLOOKUP(AD9-6,srednie!$A$4:$AN$976,BN9,FALSE))</f>
        <v>0</v>
      </c>
      <c r="AL9" s="376">
        <f>IF(ISNA(VLOOKUP(AD9-7,srednie!$A$4:$AN$976,BN9,FALSE))=TRUE,0,VLOOKUP(AD9-7,srednie!$A$4:$AN$976,BN9,FALSE))</f>
        <v>0</v>
      </c>
      <c r="AM9" s="376">
        <f>IF(AND(C9&lt;&gt;"",AD9&lt;&gt;""),IF(AF9&gt;0,AF9,0)+IF(AND(AF9=0,AG9&gt;0),AG9,0)+IF(AND(AF9=0,AG9=0,AH9&gt;0),AH9,0)+IF(AND(AF9=0,AG9=0,AH9=0,AI9&gt;0),AI9,0)+IF(AND(AF9=0,AG9=0,AH9=0,AI9=0,AJ9&gt;0),AJ9,0)+IF(AND(AF9=0,AG9=0,AH9=0,AI9=0,AJ9=0,AK9&gt;0),AK9,0)+IF(AND(AF9=0,AG9=0,AH9=0,AI9=0,AJ9=0,AK9=0,AK9&gt;0),AK9,0),0)</f>
        <v>0</v>
      </c>
      <c r="AN9" s="376" t="str">
        <f>IF($BK$6=$BM$3,AM9," - ")</f>
        <v> - </v>
      </c>
      <c r="AO9" s="377">
        <f>IF(ISNA(VLOOKUP(AD9-1,srednie!$A$4:$AN$976,38,FALSE))=TRUE,0,VLOOKUP(AD9-1,srednie!$A$4:$AN$976,38,FALSE))</f>
        <v>0</v>
      </c>
      <c r="AP9" s="377">
        <f>IF(ISNA(VLOOKUP(AD9-2,srednie!$A$4:$AN$976,38,FALSE))=TRUE,0,VLOOKUP(AD9-2,srednie!$A$4:$AN$976,38,FALSE))</f>
        <v>0</v>
      </c>
      <c r="AQ9" s="377">
        <f>IF(ISNA(VLOOKUP(AD9-3,srednie!$A$4:$AN$976,38,FALSE))=TRUE,0,VLOOKUP(AD9-3,srednie!$A$4:$AN$976,38,FALSE))</f>
        <v>0</v>
      </c>
      <c r="AR9" s="377">
        <f>IF(ISNA(VLOOKUP(AD9-4,srednie!$A$4:$AN$976,38,FALSE))=TRUE,0,VLOOKUP(AD9-4,srednie!$A$4:$AN$976,38,FALSE))</f>
        <v>0</v>
      </c>
      <c r="AS9" s="377">
        <f>IF(ISNA(VLOOKUP(AD9-5,srednie!$A$4:$AN$976,38,FALSE))=TRUE,0,VLOOKUP(AD9-5,srednie!$A$4:$AN$976,38,FALSE))</f>
        <v>0</v>
      </c>
      <c r="AT9" s="377">
        <f>IF(ISNA(VLOOKUP(AD9-6,srednie!$A$4:$AN$976,38,FALSE))=TRUE,0,VLOOKUP(AD9-6,srednie!$A$4:$AN$976,38,FALSE))</f>
        <v>0</v>
      </c>
      <c r="AU9" s="378">
        <f>IF(ISNA(VLOOKUP(AD9-7,srednie!$A$4:$AN$976,38,FALSE))=TRUE,0,VLOOKUP(AD9-7,srednie!$A$4:$AN$976,38,FALSE))</f>
        <v>0</v>
      </c>
      <c r="AV9" s="379">
        <f>IF(AO9=BE9,VLOOKUP(AD9-1,srednie!$A$4:$AN$976,39,TRUE),0)</f>
        <v>0</v>
      </c>
      <c r="AW9" s="377">
        <f>IF(AND(AP9=BE9,AV9=0),VLOOKUP(AD9-2,srednie!$A$4:$AN$976,39,TRUE),AV9)</f>
        <v>0</v>
      </c>
      <c r="AX9" s="377">
        <f>IF(AND(AQ9=BE9,AW9=0),VLOOKUP(AD9-3,srednie!$A$4:$AN$976,39,TRUE),AW9)</f>
        <v>0</v>
      </c>
      <c r="AY9" s="377">
        <f>IF(AND(AR9=BE9,AX9=0),VLOOKUP(AD9-4,srednie!$A$4:$AN$976,39,TRUE),AX9)</f>
        <v>0</v>
      </c>
      <c r="AZ9" s="377">
        <f>IF(AND(AS9=BE9,AY9=0),VLOOKUP(AD9-5,srednie!$A$4:$AN$976,39,TRUE),AY9)</f>
        <v>0</v>
      </c>
      <c r="BA9" s="377">
        <f>IF(AND(AT9=BE9,AZ9=0),VLOOKUP(AD9-6,srednie!$A$4:$AN$976,39,TRUE),AZ9)</f>
        <v>0</v>
      </c>
      <c r="BB9" s="377">
        <f>IF(AND(AU9=BE9,BA9=0),VLOOKUP(AD9-7,srednie!$A$4:$AN$976,39,TRUE),BA9)</f>
        <v>0</v>
      </c>
      <c r="BC9" s="377">
        <f>IF(AO9&gt;0,AO9,0)+IF(AND(AO9=0,AP9&gt;0),AP9,0)+IF(AND(AO9=0,AP9=0,AQ9&gt;0),AQ9,0)+IF(AND(AO9=0,AP9=0,AQ9=0,AR9&gt;0),AR9,0)+IF(AND(AO9=0,AP9=0,AQ9=0,AR9=0,AS9&gt;0),AS9,0)+IF(AND(AO9=0,AP9=0,AQ9=0,AR9=0,AS9=0,AT9&gt;0),AT9,0)+IF(AND(AO9=0,AP9=0,AQ9=0,AR9=0,AS9=0,AT9=0,AU9&gt;0),AU9,0)</f>
        <v>0</v>
      </c>
      <c r="BD9" s="377" t="str">
        <f>IF(AD9&lt;&gt;0,BB9," - ")</f>
        <v> - </v>
      </c>
      <c r="BE9" s="380" t="str">
        <f>IF($BK$6=$BM$3,BC9," ")</f>
        <v> </v>
      </c>
      <c r="BF9" s="381" t="str">
        <f>IF($BK$6=$BM$3,BD9,$BM$4)</f>
        <v>kursy banku</v>
      </c>
      <c r="BG9" s="373">
        <f>IF(AN9=" - ",0,AE9*AN9)</f>
        <v>0</v>
      </c>
      <c r="BH9" s="373">
        <f>IF(AND(AC9&gt;BG9,BG9&lt;&gt;0,BQ14&gt;=BR14),AC9-BG9,0)</f>
        <v>0</v>
      </c>
      <c r="BI9" s="373">
        <f>IF(AND(AC9&lt;BG9,BG9&lt;&gt;0,BQ14&gt;=BR14),BG9-AC9,0)</f>
        <v>0</v>
      </c>
      <c r="BJ9" s="59"/>
      <c r="BK9" s="382" t="e">
        <f aca="true" t="shared" si="0" ref="BK9:BK14">IF(BS9=0,"NIEROZLICZONE TRANZAKCJE","UKRYJ WIERSZE")</f>
        <v>#REF!</v>
      </c>
      <c r="BN9" s="40">
        <f>IF($BS$3=C9,$BS$1,0)+IF($BT$3=C9,$BT$1,0)+IF($BU$3=C9,$BU$1,0)+IF($BV$3=C9,$BV$1,0)+IF($BW$3=C9,$BW$1,0)+IF($BX$3=C9,$BX$1,0)+IF($BY$3=C9,$BY$1,0)+IF($BZ$3=C9,$BZ$1,0)+IF($CA$3=C9,$CA$1,0)+IF($CB$3=C9,$CB$1,0)+IF($CC$3=C9,$CC$1,0)+IF($CD$3=C9,$CD$1,0)+IF($CE$3=C9,$CE$1,0)+IF($CF$3=C9,$CF$1,0)+IF($CG$3=C9,$CG$1,0)+IF($CH$3=C9,$CH$1,0)+IF($CI$3=C9,$CI$1,0)+IF($CJ$3=C9,$CJ$1,0)+IF($CK$3=C9,$CK$1,0)+IF($CL$3=C9,$CL$1,0)+IF($CM$3=C9,$CM$1,0)+IF($CN$3=C9,$CN$1,0)+IF($CO$3=C9,$CO$1,0)+IF($CP$3=C9,$CP$1,0)+IF($CQ$3=C9,$CQ$1,0)+IF($CR$3=C9,$CR$1,0)+IF($CS$3=C9,$CS$1,0)+IF($CT$3=C9,$CT$1,0)+IF($CU$3=C9,$CU$1,0)+IF($CV$3=C9,$CV$1,0)+IF($CW$3=C9,$CW$1,0)+IF($CX$3=C9,$CX$1,0)+IF($CY$3=C9,$CY$1,0)+IF($CZ$3=C9,$CZ$1,0)+IF($DA$3=C9,$DA$1,0)+IF($DB$3=C9,$DB$1,0)</f>
        <v>9</v>
      </c>
      <c r="BO9" s="354">
        <f>IF(B9&gt;AD9,AD9,B9)</f>
        <v>0</v>
      </c>
      <c r="BP9" s="354">
        <f>IF(B9&gt;AD9,B9,AD9)</f>
        <v>40952</v>
      </c>
      <c r="BQ9" s="383" t="e">
        <f>IF(AND($BR$6&gt;=BO9),1,0)</f>
        <v>#REF!</v>
      </c>
      <c r="BR9" s="384" t="e">
        <f>IF(AND($BR$6&gt;=BP9,BP9&gt;=$BQ$6),1,0)</f>
        <v>#REF!</v>
      </c>
      <c r="BS9" s="385" t="e">
        <f>IF(AND(BQ9&gt;0,BR9&gt;0),1,0)</f>
        <v>#REF!</v>
      </c>
      <c r="BT9" s="40">
        <f>IF(AE3=BU9,1,0)</f>
        <v>0</v>
      </c>
      <c r="BU9" s="40" t="s">
        <v>388</v>
      </c>
      <c r="BW9" s="353" t="e">
        <f>IF(ISNA(VLOOKUP(AN3,#REF!,2,FALSE))=TRUE,"0,00",VLOOKUP(AN3,#REF!,2,FALSE))</f>
        <v>#REF!</v>
      </c>
      <c r="BX9" s="386" t="e">
        <f>BW9+31</f>
        <v>#REF!</v>
      </c>
      <c r="BY9" s="387"/>
      <c r="BZ9" s="387"/>
    </row>
    <row r="10" spans="1:78" s="40" customFormat="1" ht="12.75" customHeight="1" hidden="1">
      <c r="A10" s="695"/>
      <c r="B10" s="719"/>
      <c r="C10" s="717"/>
      <c r="D10" s="373">
        <v>0</v>
      </c>
      <c r="E10" s="673"/>
      <c r="F10" s="673"/>
      <c r="G10" s="673"/>
      <c r="H10" s="673"/>
      <c r="I10" s="673"/>
      <c r="J10" s="673"/>
      <c r="K10" s="673"/>
      <c r="L10" s="687"/>
      <c r="M10" s="690"/>
      <c r="N10" s="690"/>
      <c r="O10" s="690"/>
      <c r="P10" s="690"/>
      <c r="Q10" s="690"/>
      <c r="R10" s="690"/>
      <c r="S10" s="693"/>
      <c r="T10" s="676"/>
      <c r="U10" s="670"/>
      <c r="V10" s="670"/>
      <c r="W10" s="684"/>
      <c r="X10" s="684"/>
      <c r="Y10" s="684"/>
      <c r="Z10" s="684"/>
      <c r="AA10" s="700"/>
      <c r="AB10" s="707"/>
      <c r="AC10" s="374">
        <f>D10*L9</f>
        <v>0</v>
      </c>
      <c r="AD10" s="375"/>
      <c r="AE10" s="373">
        <v>0</v>
      </c>
      <c r="AF10" s="376">
        <f>IF(ISNA(VLOOKUP(AD10-1,srednie!$A$4:$AN$976,BN10,FALSE))=TRUE,0,VLOOKUP(AD10-1,srednie!$A$4:$AN$976,BN10,FALSE))</f>
        <v>0</v>
      </c>
      <c r="AG10" s="376">
        <f>IF(ISNA(VLOOKUP(AD10-2,srednie!$A$4:$AN$976,BN10,FALSE))=TRUE,0,VLOOKUP(AD10-2,srednie!$A$4:$AN$976,BN10,FALSE))</f>
        <v>0</v>
      </c>
      <c r="AH10" s="376">
        <f>IF(ISNA(VLOOKUP(AD10-3,srednie!$A$4:$AN$976,BN10,FALSE))=TRUE,0,VLOOKUP(AD10-3,srednie!$A$4:$AN$976,BN10,FALSE))</f>
        <v>0</v>
      </c>
      <c r="AI10" s="376">
        <f>IF(ISNA(VLOOKUP(AD10-4,srednie!$A$4:$AN$976,BN10,FALSE))=TRUE,0,VLOOKUP(AD10-4,srednie!$A$4:$AN$976,BN10,FALSE))</f>
        <v>0</v>
      </c>
      <c r="AJ10" s="376">
        <f>IF(ISNA(VLOOKUP(AD10-5,srednie!$A$4:$AN$976,BN10,FALSE))=TRUE,0,VLOOKUP(AD10-5,srednie!$A$4:$AN$976,BN10,FALSE))</f>
        <v>0</v>
      </c>
      <c r="AK10" s="376">
        <f>IF(ISNA(VLOOKUP(AD10-6,srednie!$A$4:$AN$976,BN10,FALSE))=TRUE,0,VLOOKUP(AD10-6,srednie!$A$4:$AN$976,BN10,FALSE))</f>
        <v>0</v>
      </c>
      <c r="AL10" s="376">
        <f>IF(ISNA(VLOOKUP(AD10-7,srednie!$A$4:$AN$976,BN10,FALSE))=TRUE,0,VLOOKUP(AD10-7,srednie!$A$4:$AN$976,BN10,FALSE))</f>
        <v>0</v>
      </c>
      <c r="AM10" s="376">
        <f>IF(AND(C9&lt;&gt;"",AD10&lt;&gt;""),IF(AF10&gt;0,AF10,0)+IF(AND(AF10=0,AG10&gt;0),AG10,0)+IF(AND(AF10=0,AG10=0,AH10&gt;0),AH10,0)+IF(AND(AF10=0,AG10=0,AH10=0,AI10&gt;0),AI10,0)+IF(AND(AF10=0,AG10=0,AH10=0,AI10=0,AJ10&gt;0),AJ10,0)+IF(AND(AF10=0,AG10=0,AH10=0,AI10=0,AJ10=0,AK10&gt;0),AK10,0)+IF(AND(AF10=0,AG10=0,AH10=0,AI10=0,AJ10=0,AK10=0,AK10&gt;0),AK10,0),0)</f>
        <v>0</v>
      </c>
      <c r="AN10" s="376" t="str">
        <f>IF($BK$6=$BM$3,AM10," - ")</f>
        <v> - </v>
      </c>
      <c r="AO10" s="377">
        <f>IF(ISNA(VLOOKUP(AD10-1,srednie!$A$4:$AN$976,38,FALSE))=TRUE,0,VLOOKUP(AD10-1,srednie!$A$4:$AN$976,38,FALSE))</f>
        <v>0</v>
      </c>
      <c r="AP10" s="377">
        <f>IF(ISNA(VLOOKUP(AD10-2,srednie!$A$4:$AN$976,38,FALSE))=TRUE,0,VLOOKUP(AD10-2,srednie!$A$4:$AN$976,38,FALSE))</f>
        <v>0</v>
      </c>
      <c r="AQ10" s="377">
        <f>IF(ISNA(VLOOKUP(AD10-3,srednie!$A$4:$AN$976,38,FALSE))=TRUE,0,VLOOKUP(AD10-3,srednie!$A$4:$AN$976,38,FALSE))</f>
        <v>0</v>
      </c>
      <c r="AR10" s="377">
        <f>IF(ISNA(VLOOKUP(AD10-4,srednie!$A$4:$AN$976,38,FALSE))=TRUE,0,VLOOKUP(AD10-4,srednie!$A$4:$AN$976,38,FALSE))</f>
        <v>0</v>
      </c>
      <c r="AS10" s="377">
        <f>IF(ISNA(VLOOKUP(AD10-5,srednie!$A$4:$AN$976,38,FALSE))=TRUE,0,VLOOKUP(AD10-5,srednie!$A$4:$AN$976,38,FALSE))</f>
        <v>0</v>
      </c>
      <c r="AT10" s="377">
        <f>IF(ISNA(VLOOKUP(AD10-6,srednie!$A$4:$AN$976,38,FALSE))=TRUE,0,VLOOKUP(AD10-6,srednie!$A$4:$AN$976,38,FALSE))</f>
        <v>0</v>
      </c>
      <c r="AU10" s="378">
        <f>IF(ISNA(VLOOKUP(AD10-7,srednie!$A$4:$AN$976,38,FALSE))=TRUE,0,VLOOKUP(AD10-7,srednie!$A$4:$AN$976,38,FALSE))</f>
        <v>0</v>
      </c>
      <c r="AV10" s="379">
        <f>IF(AO10=BE10,VLOOKUP(AD10-1,srednie!$A$4:$AN$976,39,TRUE),0)</f>
        <v>0</v>
      </c>
      <c r="AW10" s="377">
        <f>IF(AND(AP10=BE10,AV10=0),VLOOKUP(AD10-2,srednie!$A$4:$AN$976,39,TRUE),AV10)</f>
        <v>0</v>
      </c>
      <c r="AX10" s="377">
        <f>IF(AND(AQ10=BE10,AW10=0),VLOOKUP(AD10-3,srednie!$A$4:$AN$976,39,TRUE),AW10)</f>
        <v>0</v>
      </c>
      <c r="AY10" s="377">
        <f>IF(AND(AR10=BE10,AX10=0),VLOOKUP(AD10-4,srednie!$A$4:$AN$976,39,TRUE),AX10)</f>
        <v>0</v>
      </c>
      <c r="AZ10" s="377">
        <f>IF(AND(AS10=BE10,AY10=0),VLOOKUP(AD10-5,srednie!$A$4:$AN$976,39,TRUE),AY10)</f>
        <v>0</v>
      </c>
      <c r="BA10" s="377">
        <f>IF(AND(AT10=BE10,AZ10=0),VLOOKUP(AD10-6,srednie!$A$4:$AN$976,39,TRUE),AZ10)</f>
        <v>0</v>
      </c>
      <c r="BB10" s="377">
        <f>IF(AND(AU10=BE10,BA10=0),VLOOKUP(AD10-7,srednie!$A$4:$AN$976,39,TRUE),BA10)</f>
        <v>0</v>
      </c>
      <c r="BC10" s="377">
        <f>IF(AO10&gt;0,AO10,0)+IF(AND(AO10=0,AP10&gt;0),AP10,0)+IF(AND(AO10=0,AP10=0,AQ10&gt;0),AQ10,0)+IF(AND(AO10=0,AP10=0,AQ10=0,AR10&gt;0),AR10,0)+IF(AND(AO10=0,AP10=0,AQ10=0,AR10=0,AS10&gt;0),AS10,0)+IF(AND(AO10=0,AP10=0,AQ10=0,AR10=0,AS10=0,AT10&gt;0),AT10,0)+IF(AND(AO10=0,AP10=0,AQ10=0,AR10=0,AS10=0,AT10=0,AU10&gt;0),AU10,0)</f>
        <v>0</v>
      </c>
      <c r="BD10" s="377" t="str">
        <f>IF(AD10&lt;&gt;0,BB10," - ")</f>
        <v> - </v>
      </c>
      <c r="BE10" s="380" t="str">
        <f>IF($BK$6=$BM$3,BC10," ")</f>
        <v> </v>
      </c>
      <c r="BF10" s="381" t="str">
        <f>IF($BK$6=$BM$3,BD10,$BM$4)</f>
        <v>kursy banku</v>
      </c>
      <c r="BG10" s="373">
        <f>IF(AN10=" - ",0,AE10*AN10)</f>
        <v>0</v>
      </c>
      <c r="BH10" s="373">
        <f>IF(AND(AC10&gt;BG10,BG10&lt;&gt;0,BQ14&gt;=BR14),AC10-BG10,0)</f>
        <v>0</v>
      </c>
      <c r="BI10" s="373">
        <f>IF(AND(AC10&lt;BG10,BG10&lt;&gt;0,BQ14&gt;=BR14),BG10-AC10,0)</f>
        <v>0</v>
      </c>
      <c r="BJ10" s="59"/>
      <c r="BK10" s="382" t="e">
        <f t="shared" si="0"/>
        <v>#REF!</v>
      </c>
      <c r="BN10" s="40">
        <f>IF($BS$3=C9,$BS$1,0)+IF($BT$3=C9,$BT$1,0)+IF($BU$3=C9,$BU$1,0)+IF($BV$3=C9,$BV$1,0)+IF($BW$3=C9,$BW$1,0)+IF($BX$3=C9,$BX$1,0)+IF($BY$3=C9,$BY$1,0)+IF($BZ$3=C9,$BZ$1,0)+IF($CA$3=C9,$CA$1,0)+IF($CB$3=C9,$CB$1,0)+IF($CC$3=C9,$CC$1,0)+IF($CD$3=C9,$CD$1,0)+IF($CE$3=C9,$CE$1,0)+IF($CF$3=C9,$CF$1,0)+IF($CG$3=C9,$CG$1,0)+IF($CH$3=C9,$CH$1,0)+IF($CI$3=C9,$CI$1,0)+IF($CJ$3=C9,$CJ$1,0)+IF($CK$3=C9,$CK$1,0)+IF($CL$3=C9,$CL$1,0)+IF($CM$3=C9,$CM$1,0)+IF($CN$3=C9,$CN$1,0)+IF($CO$3=C9,$CO$1,0)+IF($CP$3=C9,$CP$1,0)+IF($CQ$3=C9,$CQ$1,0)+IF($CR$3=C9,$CR$1,0)+IF($CS$3=C9,$CS$1,0)+IF($CT$3=C9,$CT$1,0)+IF($CU$3=C9,$CU$1,0)+IF($CV$3=C9,$CV$1,0)+IF($CW$3=C9,$CW$1,0)+IF($CX$3=C9,$CX$1,0)+IF($CY$3=C9,$CY$1,0)+IF($CZ$3=C9,$CZ$1,0)+IF($DA$3=C9,$DA$1,0)+IF($DB$3=C9,$DB$1,0)</f>
        <v>9</v>
      </c>
      <c r="BO10" s="354">
        <f>IF(B9&gt;AD10,AD10,B9)</f>
        <v>0</v>
      </c>
      <c r="BP10" s="354">
        <f>IF(B9&gt;AD10,B9,AD10)</f>
        <v>40952</v>
      </c>
      <c r="BQ10" s="383" t="e">
        <f>IF(AND($BR$6&gt;=BO10),1,0)</f>
        <v>#REF!</v>
      </c>
      <c r="BR10" s="384" t="e">
        <f>IF(AND($BR$6&gt;=BP10,BP10&gt;=$BQ$6),1,0)</f>
        <v>#REF!</v>
      </c>
      <c r="BS10" s="385" t="e">
        <f>IF(AND(BQ10&gt;0,BR10&gt;0),1,0)</f>
        <v>#REF!</v>
      </c>
      <c r="BT10" s="40">
        <f>IF(AE3=BU10,2,0)</f>
        <v>0</v>
      </c>
      <c r="BU10" s="40" t="s">
        <v>389</v>
      </c>
      <c r="BW10" s="353" t="e">
        <f>BW9+31</f>
        <v>#REF!</v>
      </c>
      <c r="BX10" s="386" t="e">
        <f>IF(OR(AN3=#REF!,AN3=#REF!,AN3=#REF!,AN3=#REF!,AN3=#REF!,AN3=#REF!,AN3=#REF!,AN3=#REF!,AN3=#REF!,AN3=#REF!,AN3=#REF!),BW10+29,BW10+28)</f>
        <v>#REF!</v>
      </c>
      <c r="BY10" s="387"/>
      <c r="BZ10" s="387"/>
    </row>
    <row r="11" spans="1:78" s="40" customFormat="1" ht="12.75" customHeight="1" hidden="1">
      <c r="A11" s="695"/>
      <c r="B11" s="719"/>
      <c r="C11" s="717"/>
      <c r="D11" s="373">
        <v>0</v>
      </c>
      <c r="E11" s="673"/>
      <c r="F11" s="673"/>
      <c r="G11" s="673"/>
      <c r="H11" s="673"/>
      <c r="I11" s="673"/>
      <c r="J11" s="673"/>
      <c r="K11" s="673"/>
      <c r="L11" s="687"/>
      <c r="M11" s="690"/>
      <c r="N11" s="690"/>
      <c r="O11" s="690"/>
      <c r="P11" s="690"/>
      <c r="Q11" s="690"/>
      <c r="R11" s="690"/>
      <c r="S11" s="693"/>
      <c r="T11" s="676"/>
      <c r="U11" s="670"/>
      <c r="V11" s="670"/>
      <c r="W11" s="684"/>
      <c r="X11" s="684"/>
      <c r="Y11" s="684"/>
      <c r="Z11" s="684"/>
      <c r="AA11" s="700"/>
      <c r="AB11" s="707"/>
      <c r="AC11" s="374">
        <f>D11*L9</f>
        <v>0</v>
      </c>
      <c r="AD11" s="375"/>
      <c r="AE11" s="373">
        <v>0</v>
      </c>
      <c r="AF11" s="376">
        <f>IF(ISNA(VLOOKUP(AD11-1,srednie!$A$4:$AN$976,BN11,FALSE))=TRUE,0,VLOOKUP(AD11-1,srednie!$A$4:$AN$976,BN11,FALSE))</f>
        <v>0</v>
      </c>
      <c r="AG11" s="376">
        <f>IF(ISNA(VLOOKUP(AD11-2,srednie!$A$4:$AN$976,BN11,FALSE))=TRUE,0,VLOOKUP(AD11-2,srednie!$A$4:$AN$976,BN11,FALSE))</f>
        <v>0</v>
      </c>
      <c r="AH11" s="376">
        <f>IF(ISNA(VLOOKUP(AD11-3,srednie!$A$4:$AN$976,BN11,FALSE))=TRUE,0,VLOOKUP(AD11-3,srednie!$A$4:$AN$976,BN11,FALSE))</f>
        <v>0</v>
      </c>
      <c r="AI11" s="376">
        <f>IF(ISNA(VLOOKUP(AD11-4,srednie!$A$4:$AN$976,BN11,FALSE))=TRUE,0,VLOOKUP(AD11-4,srednie!$A$4:$AN$976,BN11,FALSE))</f>
        <v>0</v>
      </c>
      <c r="AJ11" s="376">
        <f>IF(ISNA(VLOOKUP(AD11-5,srednie!$A$4:$AN$976,BN11,FALSE))=TRUE,0,VLOOKUP(AD11-5,srednie!$A$4:$AN$976,BN11,FALSE))</f>
        <v>0</v>
      </c>
      <c r="AK11" s="376">
        <f>IF(ISNA(VLOOKUP(AD11-6,srednie!$A$4:$AN$976,BN11,FALSE))=TRUE,0,VLOOKUP(AD11-6,srednie!$A$4:$AN$976,BN11,FALSE))</f>
        <v>0</v>
      </c>
      <c r="AL11" s="376">
        <f>IF(ISNA(VLOOKUP(AD11-7,srednie!$A$4:$AN$976,BN11,FALSE))=TRUE,0,VLOOKUP(AD11-7,srednie!$A$4:$AN$976,BN11,FALSE))</f>
        <v>0</v>
      </c>
      <c r="AM11" s="376">
        <f>IF(AND(C9&lt;&gt;"",AD11&lt;&gt;""),IF(AF11&gt;0,AF11,0)+IF(AND(AF11=0,AG11&gt;0),AG11,0)+IF(AND(AF11=0,AG11=0,AH11&gt;0),AH11,0)+IF(AND(AF11=0,AG11=0,AH11=0,AI11&gt;0),AI11,0)+IF(AND(AF11=0,AG11=0,AH11=0,AI11=0,AJ11&gt;0),AJ11,0)+IF(AND(AF11=0,AG11=0,AH11=0,AI11=0,AJ11=0,AK11&gt;0),AK11,0)+IF(AND(AF11=0,AG11=0,AH11=0,AI11=0,AJ11=0,AK11=0,AK11&gt;0),AK11,0),0)</f>
        <v>0</v>
      </c>
      <c r="AN11" s="376" t="str">
        <f>IF($BK$6=$BM$3,AM11," - ")</f>
        <v> - </v>
      </c>
      <c r="AO11" s="377">
        <f>IF(ISNA(VLOOKUP(AD11-1,srednie!$A$4:$AN$976,38,FALSE))=TRUE,0,VLOOKUP(AD11-1,srednie!$A$4:$AN$976,38,FALSE))</f>
        <v>0</v>
      </c>
      <c r="AP11" s="377">
        <f>IF(ISNA(VLOOKUP(AD11-2,srednie!$A$4:$AN$976,38,FALSE))=TRUE,0,VLOOKUP(AD11-2,srednie!$A$4:$AN$976,38,FALSE))</f>
        <v>0</v>
      </c>
      <c r="AQ11" s="377">
        <f>IF(ISNA(VLOOKUP(AD11-3,srednie!$A$4:$AN$976,38,FALSE))=TRUE,0,VLOOKUP(AD11-3,srednie!$A$4:$AN$976,38,FALSE))</f>
        <v>0</v>
      </c>
      <c r="AR11" s="377">
        <f>IF(ISNA(VLOOKUP(AD11-4,srednie!$A$4:$AN$976,38,FALSE))=TRUE,0,VLOOKUP(AD11-4,srednie!$A$4:$AN$976,38,FALSE))</f>
        <v>0</v>
      </c>
      <c r="AS11" s="377">
        <f>IF(ISNA(VLOOKUP(AD11-5,srednie!$A$4:$AN$976,38,FALSE))=TRUE,0,VLOOKUP(AD11-5,srednie!$A$4:$AN$976,38,FALSE))</f>
        <v>0</v>
      </c>
      <c r="AT11" s="377">
        <f>IF(ISNA(VLOOKUP(AD11-6,srednie!$A$4:$AN$976,38,FALSE))=TRUE,0,VLOOKUP(AD11-6,srednie!$A$4:$AN$976,38,FALSE))</f>
        <v>0</v>
      </c>
      <c r="AU11" s="378">
        <f>IF(ISNA(VLOOKUP(AD11-7,srednie!$A$4:$AN$976,38,FALSE))=TRUE,0,VLOOKUP(AD11-7,srednie!$A$4:$AN$976,38,FALSE))</f>
        <v>0</v>
      </c>
      <c r="AV11" s="379">
        <f>IF(AO11=BE11,VLOOKUP(AD11-1,srednie!$A$4:$AN$976,39,TRUE),0)</f>
        <v>0</v>
      </c>
      <c r="AW11" s="377">
        <f>IF(AND(AP11=BE11,AV11=0),VLOOKUP(AD11-2,srednie!$A$4:$AN$976,39,TRUE),AV11)</f>
        <v>0</v>
      </c>
      <c r="AX11" s="377">
        <f>IF(AND(AQ11=BE11,AW11=0),VLOOKUP(AD11-3,srednie!$A$4:$AN$976,39,TRUE),AW11)</f>
        <v>0</v>
      </c>
      <c r="AY11" s="377">
        <f>IF(AND(AR11=BE11,AX11=0),VLOOKUP(AD11-4,srednie!$A$4:$AN$976,39,TRUE),AX11)</f>
        <v>0</v>
      </c>
      <c r="AZ11" s="377">
        <f>IF(AND(AS11=BE11,AY11=0),VLOOKUP(AD11-5,srednie!$A$4:$AN$976,39,TRUE),AY11)</f>
        <v>0</v>
      </c>
      <c r="BA11" s="377">
        <f>IF(AND(AT11=BE11,AZ11=0),VLOOKUP(AD11-6,srednie!$A$4:$AN$976,39,TRUE),AZ11)</f>
        <v>0</v>
      </c>
      <c r="BB11" s="377">
        <f>IF(AND(AU11=BE11,BA11=0),VLOOKUP(AD11-7,srednie!$A$4:$AN$976,39,TRUE),BA11)</f>
        <v>0</v>
      </c>
      <c r="BC11" s="377">
        <f>IF(AO11&gt;0,AO11,0)+IF(AND(AO11=0,AP11&gt;0),AP11,0)+IF(AND(AO11=0,AP11=0,AQ11&gt;0),AQ11,0)+IF(AND(AO11=0,AP11=0,AQ11=0,AR11&gt;0),AR11,0)+IF(AND(AO11=0,AP11=0,AQ11=0,AR11=0,AS11&gt;0),AS11,0)+IF(AND(AO11=0,AP11=0,AQ11=0,AR11=0,AS11=0,AT11&gt;0),AT11,0)+IF(AND(AO11=0,AP11=0,AQ11=0,AR11=0,AS11=0,AT11=0,AU11&gt;0),AU11,0)</f>
        <v>0</v>
      </c>
      <c r="BD11" s="377" t="str">
        <f>IF(AD11&lt;&gt;0,BB11," - ")</f>
        <v> - </v>
      </c>
      <c r="BE11" s="380" t="str">
        <f>IF($BK$6=$BM$3,BC11," ")</f>
        <v> </v>
      </c>
      <c r="BF11" s="381" t="str">
        <f>IF($BK$6=$BM$3,BD11,$BM$4)</f>
        <v>kursy banku</v>
      </c>
      <c r="BG11" s="373">
        <f>IF(AN11=" - ",0,AE11*AN11)</f>
        <v>0</v>
      </c>
      <c r="BH11" s="373">
        <f>IF(AND(AC11&gt;BG11,BG11&lt;&gt;0,BQ14&gt;=BR14),AC11-BG11,0)</f>
        <v>0</v>
      </c>
      <c r="BI11" s="373">
        <f>IF(AND(AC11&lt;BG11,BG11&lt;&gt;0,BQ14&gt;=BR14),BG11-AC11,0)</f>
        <v>0</v>
      </c>
      <c r="BJ11" s="59"/>
      <c r="BK11" s="382" t="e">
        <f t="shared" si="0"/>
        <v>#REF!</v>
      </c>
      <c r="BN11" s="40">
        <f>IF($BS$3=C9,$BS$1,0)+IF($BT$3=C9,$BT$1,0)+IF($BU$3=C9,$BU$1,0)+IF($BV$3=C9,$BV$1,0)+IF($BW$3=C9,$BW$1,0)+IF($BX$3=C9,$BX$1,0)+IF($BY$3=C9,$BY$1,0)+IF($BZ$3=C9,$BZ$1,0)+IF($CA$3=C9,$CA$1,0)+IF($CB$3=C9,$CB$1,0)+IF($CC$3=C9,$CC$1,0)+IF($CD$3=C9,$CD$1,0)+IF($CE$3=C9,$CE$1,0)+IF($CF$3=C9,$CF$1,0)+IF($CG$3=C9,$CG$1,0)+IF($CH$3=C9,$CH$1,0)+IF($CI$3=C9,$CI$1,0)+IF($CJ$3=C9,$CJ$1,0)+IF($CK$3=C9,$CK$1,0)+IF($CL$3=C9,$CL$1,0)+IF($CM$3=C9,$CM$1,0)+IF($CN$3=C9,$CN$1,0)+IF($CO$3=C9,$CO$1,0)+IF($CP$3=C9,$CP$1,0)+IF($CQ$3=C9,$CQ$1,0)+IF($CR$3=C9,$CR$1,0)+IF($CS$3=C9,$CS$1,0)+IF($CT$3=C9,$CT$1,0)+IF($CU$3=C9,$CU$1,0)+IF($CV$3=C9,$CV$1,0)+IF($CW$3=C9,$CW$1,0)+IF($CX$3=C9,$CX$1,0)+IF($CY$3=C9,$CY$1,0)+IF($CZ$3=C9,$CZ$1,0)+IF($DA$3=C9,$DA$1,0)+IF($DB$3=C9,$DB$1,0)</f>
        <v>9</v>
      </c>
      <c r="BO11" s="354">
        <f>IF(B9&gt;AD11,AD11,B9)</f>
        <v>0</v>
      </c>
      <c r="BP11" s="354">
        <f>IF(B9&gt;AD11,B9,AD11)</f>
        <v>40952</v>
      </c>
      <c r="BQ11" s="383" t="e">
        <f>IF(AND($BR$6&gt;=BO11),1,0)</f>
        <v>#REF!</v>
      </c>
      <c r="BR11" s="384" t="e">
        <f>IF(AND($BR$6&gt;=BP11,BP11&gt;=$BQ$6),1,0)</f>
        <v>#REF!</v>
      </c>
      <c r="BS11" s="385" t="e">
        <f>IF(AND(BQ11&gt;0,BR11&gt;0),1,0)</f>
        <v>#REF!</v>
      </c>
      <c r="BT11" s="40">
        <f>IF(AE3=BU11,3,0)</f>
        <v>3</v>
      </c>
      <c r="BU11" s="40" t="s">
        <v>367</v>
      </c>
      <c r="BW11" s="388" t="e">
        <f>IF(OR(AN3=#REF!,AN3=#REF!,AN3=#REF!,AN3=#REF!,AN3=#REF!,AN3=#REF!,AN3=#REF!,AN3=#REF!,AN3=#REF!,AN3=#REF!,AN3=#REF!),BW10+29,BW10+28)</f>
        <v>#REF!</v>
      </c>
      <c r="BX11" s="389" t="e">
        <f>BW11+31</f>
        <v>#REF!</v>
      </c>
      <c r="BY11" s="387"/>
      <c r="BZ11" s="387"/>
    </row>
    <row r="12" spans="1:78" s="40" customFormat="1" ht="12.75" customHeight="1" hidden="1">
      <c r="A12" s="695"/>
      <c r="B12" s="719"/>
      <c r="C12" s="717"/>
      <c r="D12" s="373">
        <v>0</v>
      </c>
      <c r="E12" s="673"/>
      <c r="F12" s="673"/>
      <c r="G12" s="673"/>
      <c r="H12" s="673"/>
      <c r="I12" s="673"/>
      <c r="J12" s="673"/>
      <c r="K12" s="673"/>
      <c r="L12" s="687"/>
      <c r="M12" s="690"/>
      <c r="N12" s="690"/>
      <c r="O12" s="690"/>
      <c r="P12" s="690"/>
      <c r="Q12" s="690"/>
      <c r="R12" s="690"/>
      <c r="S12" s="693"/>
      <c r="T12" s="676"/>
      <c r="U12" s="670"/>
      <c r="V12" s="670"/>
      <c r="W12" s="684"/>
      <c r="X12" s="684"/>
      <c r="Y12" s="684"/>
      <c r="Z12" s="684"/>
      <c r="AA12" s="700"/>
      <c r="AB12" s="707"/>
      <c r="AC12" s="374">
        <f>D12*L9</f>
        <v>0</v>
      </c>
      <c r="AD12" s="375"/>
      <c r="AE12" s="373">
        <v>0</v>
      </c>
      <c r="AF12" s="376">
        <f>IF(ISNA(VLOOKUP(AD12-1,srednie!$A$4:$AN$976,BN12,FALSE))=TRUE,0,VLOOKUP(AD12-1,srednie!$A$4:$AN$976,BN12,FALSE))</f>
        <v>0</v>
      </c>
      <c r="AG12" s="376">
        <f>IF(ISNA(VLOOKUP(AD12-2,srednie!$A$4:$AN$976,BN12,FALSE))=TRUE,0,VLOOKUP(AD12-2,srednie!$A$4:$AN$976,BN12,FALSE))</f>
        <v>0</v>
      </c>
      <c r="AH12" s="376">
        <f>IF(ISNA(VLOOKUP(AD12-3,srednie!$A$4:$AN$976,BN12,FALSE))=TRUE,0,VLOOKUP(AD12-3,srednie!$A$4:$AN$976,BN12,FALSE))</f>
        <v>0</v>
      </c>
      <c r="AI12" s="376">
        <f>IF(ISNA(VLOOKUP(AD12-4,srednie!$A$4:$AN$976,BN12,FALSE))=TRUE,0,VLOOKUP(AD12-4,srednie!$A$4:$AN$976,BN12,FALSE))</f>
        <v>0</v>
      </c>
      <c r="AJ12" s="376">
        <f>IF(ISNA(VLOOKUP(AD12-5,srednie!$A$4:$AN$976,BN12,FALSE))=TRUE,0,VLOOKUP(AD12-5,srednie!$A$4:$AN$976,BN12,FALSE))</f>
        <v>0</v>
      </c>
      <c r="AK12" s="376">
        <f>IF(ISNA(VLOOKUP(AD12-6,srednie!$A$4:$AN$976,BN12,FALSE))=TRUE,0,VLOOKUP(AD12-6,srednie!$A$4:$AN$976,BN12,FALSE))</f>
        <v>0</v>
      </c>
      <c r="AL12" s="376">
        <f>IF(ISNA(VLOOKUP(AD12-7,srednie!$A$4:$AN$976,BN12,FALSE))=TRUE,0,VLOOKUP(AD12-7,srednie!$A$4:$AN$976,BN12,FALSE))</f>
        <v>0</v>
      </c>
      <c r="AM12" s="376">
        <f>IF(AND(C9&lt;&gt;"",AD12&lt;&gt;""),IF(AF12&gt;0,AF12,0)+IF(AND(AF12=0,AG12&gt;0),AG12,0)+IF(AND(AF12=0,AG12=0,AH12&gt;0),AH12,0)+IF(AND(AF12=0,AG12=0,AH12=0,AI12&gt;0),AI12,0)+IF(AND(AF12=0,AG12=0,AH12=0,AI12=0,AJ12&gt;0),AJ12,0)+IF(AND(AF12=0,AG12=0,AH12=0,AI12=0,AJ12=0,AK12&gt;0),AK12,0)+IF(AND(AF12=0,AG12=0,AH12=0,AI12=0,AJ12=0,AK12=0,AK12&gt;0),AK12,0),0)</f>
        <v>0</v>
      </c>
      <c r="AN12" s="376" t="str">
        <f>IF($BK$6=$BM$3,AM12," - ")</f>
        <v> - </v>
      </c>
      <c r="AO12" s="377">
        <f>IF(ISNA(VLOOKUP(AD12-1,srednie!$A$4:$AN$976,38,FALSE))=TRUE,0,VLOOKUP(AD12-1,srednie!$A$4:$AN$976,38,FALSE))</f>
        <v>0</v>
      </c>
      <c r="AP12" s="377">
        <f>IF(ISNA(VLOOKUP(AD12-2,srednie!$A$4:$AN$976,38,FALSE))=TRUE,0,VLOOKUP(AD12-2,srednie!$A$4:$AN$976,38,FALSE))</f>
        <v>0</v>
      </c>
      <c r="AQ12" s="377">
        <f>IF(ISNA(VLOOKUP(AD12-3,srednie!$A$4:$AN$976,38,FALSE))=TRUE,0,VLOOKUP(AD12-3,srednie!$A$4:$AN$976,38,FALSE))</f>
        <v>0</v>
      </c>
      <c r="AR12" s="377">
        <f>IF(ISNA(VLOOKUP(AD12-4,srednie!$A$4:$AN$976,38,FALSE))=TRUE,0,VLOOKUP(AD12-4,srednie!$A$4:$AN$976,38,FALSE))</f>
        <v>0</v>
      </c>
      <c r="AS12" s="377">
        <f>IF(ISNA(VLOOKUP(AD12-5,srednie!$A$4:$AN$976,38,FALSE))=TRUE,0,VLOOKUP(AD12-5,srednie!$A$4:$AN$976,38,FALSE))</f>
        <v>0</v>
      </c>
      <c r="AT12" s="377">
        <f>IF(ISNA(VLOOKUP(AD12-6,srednie!$A$4:$AN$976,38,FALSE))=TRUE,0,VLOOKUP(AD12-6,srednie!$A$4:$AN$976,38,FALSE))</f>
        <v>0</v>
      </c>
      <c r="AU12" s="378">
        <f>IF(ISNA(VLOOKUP(AD12-7,srednie!$A$4:$AN$976,38,FALSE))=TRUE,0,VLOOKUP(AD12-7,srednie!$A$4:$AN$976,38,FALSE))</f>
        <v>0</v>
      </c>
      <c r="AV12" s="379">
        <f>IF(AO12=BE12,VLOOKUP(AD12-1,srednie!$A$4:$AN$976,39,TRUE),0)</f>
        <v>0</v>
      </c>
      <c r="AW12" s="377">
        <f>IF(AND(AP12=BE12,AV12=0),VLOOKUP(AD12-2,srednie!$A$4:$AN$976,39,TRUE),AV12)</f>
        <v>0</v>
      </c>
      <c r="AX12" s="377">
        <f>IF(AND(AQ12=BE12,AW12=0),VLOOKUP(AD12-3,srednie!$A$4:$AN$976,39,TRUE),AW12)</f>
        <v>0</v>
      </c>
      <c r="AY12" s="377">
        <f>IF(AND(AR12=BE12,AX12=0),VLOOKUP(AD12-4,srednie!$A$4:$AN$976,39,TRUE),AX12)</f>
        <v>0</v>
      </c>
      <c r="AZ12" s="377">
        <f>IF(AND(AS12=BE12,AY12=0),VLOOKUP(AD12-5,srednie!$A$4:$AN$976,39,TRUE),AY12)</f>
        <v>0</v>
      </c>
      <c r="BA12" s="377">
        <f>IF(AND(AT12=BE12,AZ12=0),VLOOKUP(AD12-6,srednie!$A$4:$AN$976,39,TRUE),AZ12)</f>
        <v>0</v>
      </c>
      <c r="BB12" s="377">
        <f>IF(AND(AU12=BE12,BA12=0),VLOOKUP(AD12-7,srednie!$A$4:$AN$976,39,TRUE),BA12)</f>
        <v>0</v>
      </c>
      <c r="BC12" s="377">
        <f>IF(AO12&gt;0,AO12,0)+IF(AND(AO12=0,AP12&gt;0),AP12,0)+IF(AND(AO12=0,AP12=0,AQ12&gt;0),AQ12,0)+IF(AND(AO12=0,AP12=0,AQ12=0,AR12&gt;0),AR12,0)+IF(AND(AO12=0,AP12=0,AQ12=0,AR12=0,AS12&gt;0),AS12,0)+IF(AND(AO12=0,AP12=0,AQ12=0,AR12=0,AS12=0,AT12&gt;0),AT12,0)+IF(AND(AO12=0,AP12=0,AQ12=0,AR12=0,AS12=0,AT12=0,AU12&gt;0),AU12,0)</f>
        <v>0</v>
      </c>
      <c r="BD12" s="377" t="str">
        <f>IF(AD12&lt;&gt;0,BB12," - ")</f>
        <v> - </v>
      </c>
      <c r="BE12" s="380" t="str">
        <f>IF($BK$6=$BM$3,BC12," ")</f>
        <v> </v>
      </c>
      <c r="BF12" s="381" t="str">
        <f>IF($BK$6=$BM$3,BD12,$BM$4)</f>
        <v>kursy banku</v>
      </c>
      <c r="BG12" s="373">
        <f>IF(AN12=" - ",0,AE12*AN12)</f>
        <v>0</v>
      </c>
      <c r="BH12" s="373">
        <f>IF(AND(AC12&gt;BG12,BG12&lt;&gt;0,BQ14&gt;=BR14),AC12-BG12,0)</f>
        <v>0</v>
      </c>
      <c r="BI12" s="373">
        <f>IF(AND(AC12&lt;BG12,BG12&lt;&gt;0,BQ14&gt;=BR14),BG12-AC12,0)</f>
        <v>0</v>
      </c>
      <c r="BJ12" s="59"/>
      <c r="BK12" s="382" t="e">
        <f t="shared" si="0"/>
        <v>#REF!</v>
      </c>
      <c r="BN12" s="40">
        <f>IF($BS$3=C9,$BS$1,0)+IF($BT$3=C9,$BT$1,0)+IF($BU$3=C9,$BU$1,0)+IF($BV$3=C9,$BV$1,0)+IF($BW$3=C9,$BW$1,0)+IF($BX$3=C9,$BX$1,0)+IF($BY$3=C9,$BY$1,0)+IF($BZ$3=C9,$BZ$1,0)+IF($CA$3=C9,$CA$1,0)+IF($CB$3=C9,$CB$1,0)+IF($CC$3=C9,$CC$1,0)+IF($CD$3=C9,$CD$1,0)+IF($CE$3=C9,$CE$1,0)+IF($CF$3=C9,$CF$1,0)+IF($CG$3=C9,$CG$1,0)+IF($CH$3=C9,$CH$1,0)+IF($CI$3=C9,$CI$1,0)+IF($CJ$3=C9,$CJ$1,0)+IF($CK$3=C9,$CK$1,0)+IF($CL$3=C9,$CL$1,0)+IF($CM$3=C9,$CM$1,0)+IF($CN$3=C9,$CN$1,0)+IF($CO$3=C9,$CO$1,0)+IF($CP$3=C9,$CP$1,0)+IF($CQ$3=C9,$CQ$1,0)+IF($CR$3=C9,$CR$1,0)+IF($CS$3=C9,$CS$1,0)+IF($CT$3=C9,$CT$1,0)+IF($CU$3=C9,$CU$1,0)+IF($CV$3=C9,$CV$1,0)+IF($CW$3=C9,$CW$1,0)+IF($CX$3=C9,$CX$1,0)+IF($CY$3=C9,$CY$1,0)+IF($CZ$3=C9,$CZ$1,0)+IF($DA$3=C9,$DA$1,0)+IF($DB$3=C9,$DB$1,0)</f>
        <v>9</v>
      </c>
      <c r="BO12" s="354">
        <f>IF(B9&gt;AD12,AD12,B9)</f>
        <v>0</v>
      </c>
      <c r="BP12" s="354">
        <f>IF(B9&gt;AD12,B9,AD12)</f>
        <v>40952</v>
      </c>
      <c r="BQ12" s="383" t="e">
        <f>IF(AND($BR$6&gt;=BO12),1,0)</f>
        <v>#REF!</v>
      </c>
      <c r="BR12" s="384" t="e">
        <f>IF(AND($BR$6&gt;=BP12,BP12&gt;=$BQ$6),1,0)</f>
        <v>#REF!</v>
      </c>
      <c r="BS12" s="385" t="e">
        <f>IF(AND(BQ12&gt;0,BR12&gt;0),1,0)</f>
        <v>#REF!</v>
      </c>
      <c r="BT12" s="40">
        <f>IF(AE3=BU12,4,0)</f>
        <v>0</v>
      </c>
      <c r="BU12" s="40" t="s">
        <v>390</v>
      </c>
      <c r="BW12" s="353" t="e">
        <f>BW11+31</f>
        <v>#REF!</v>
      </c>
      <c r="BX12" s="386" t="e">
        <f>BW12+30</f>
        <v>#REF!</v>
      </c>
      <c r="BY12" s="387"/>
      <c r="BZ12" s="387"/>
    </row>
    <row r="13" spans="1:78" s="40" customFormat="1" ht="13.5" customHeight="1" hidden="1" thickBot="1">
      <c r="A13" s="696"/>
      <c r="B13" s="719"/>
      <c r="C13" s="718"/>
      <c r="D13" s="373">
        <v>0</v>
      </c>
      <c r="E13" s="674"/>
      <c r="F13" s="674"/>
      <c r="G13" s="674"/>
      <c r="H13" s="674"/>
      <c r="I13" s="674"/>
      <c r="J13" s="674"/>
      <c r="K13" s="674"/>
      <c r="L13" s="688"/>
      <c r="M13" s="691"/>
      <c r="N13" s="691"/>
      <c r="O13" s="691"/>
      <c r="P13" s="691"/>
      <c r="Q13" s="691"/>
      <c r="R13" s="691"/>
      <c r="S13" s="694"/>
      <c r="T13" s="677"/>
      <c r="U13" s="671"/>
      <c r="V13" s="671"/>
      <c r="W13" s="685"/>
      <c r="X13" s="685"/>
      <c r="Y13" s="685"/>
      <c r="Z13" s="685"/>
      <c r="AA13" s="701"/>
      <c r="AB13" s="708"/>
      <c r="AC13" s="374">
        <f>D13*L9</f>
        <v>0</v>
      </c>
      <c r="AD13" s="375"/>
      <c r="AE13" s="390">
        <v>0</v>
      </c>
      <c r="AF13" s="376">
        <f>IF(ISNA(VLOOKUP(AD13-1,srednie!$A$4:$AN$976,BN13,FALSE))=TRUE,0,VLOOKUP(AD13-1,srednie!$A$4:$AN$976,BN13,FALSE))</f>
        <v>0</v>
      </c>
      <c r="AG13" s="376">
        <f>IF(ISNA(VLOOKUP(AD13-2,srednie!$A$4:$AN$976,BN13,FALSE))=TRUE,0,VLOOKUP(AD13-2,srednie!$A$4:$AN$976,BN13,FALSE))</f>
        <v>0</v>
      </c>
      <c r="AH13" s="376">
        <f>IF(ISNA(VLOOKUP(AD13-3,srednie!$A$4:$AN$976,BN13,FALSE))=TRUE,0,VLOOKUP(AD13-3,srednie!$A$4:$AN$976,BN13,FALSE))</f>
        <v>0</v>
      </c>
      <c r="AI13" s="376">
        <f>IF(ISNA(VLOOKUP(AD13-4,srednie!$A$4:$AN$976,BN13,FALSE))=TRUE,0,VLOOKUP(AD13-4,srednie!$A$4:$AN$976,BN13,FALSE))</f>
        <v>0</v>
      </c>
      <c r="AJ13" s="376">
        <f>IF(ISNA(VLOOKUP(AD13-5,srednie!$A$4:$AN$976,BN13,FALSE))=TRUE,0,VLOOKUP(AD13-5,srednie!$A$4:$AN$976,BN13,FALSE))</f>
        <v>0</v>
      </c>
      <c r="AK13" s="376">
        <f>IF(ISNA(VLOOKUP(AD13-6,srednie!$A$4:$AN$976,BN13,FALSE))=TRUE,0,VLOOKUP(AD13-6,srednie!$A$4:$AN$976,BN13,FALSE))</f>
        <v>0</v>
      </c>
      <c r="AL13" s="376">
        <f>IF(ISNA(VLOOKUP(AD13-7,srednie!$A$4:$AN$976,BN13,FALSE))=TRUE,0,VLOOKUP(AD13-7,srednie!$A$4:$AN$976,BN13,FALSE))</f>
        <v>0</v>
      </c>
      <c r="AM13" s="376">
        <f>IF(AND(C9&lt;&gt;"",AD13&lt;&gt;""),IF(AF13&gt;0,AF13,0)+IF(AND(AF13=0,AG13&gt;0),AG13,0)+IF(AND(AF13=0,AG13=0,AH13&gt;0),AH13,0)+IF(AND(AF13=0,AG13=0,AH13=0,AI13&gt;0),AI13,0)+IF(AND(AF13=0,AG13=0,AH13=0,AI13=0,AJ13&gt;0),AJ13,0)+IF(AND(AF13=0,AG13=0,AH13=0,AI13=0,AJ13=0,AK13&gt;0),AK13,0)+IF(AND(AF13=0,AG13=0,AH13=0,AI13=0,AJ13=0,AK13=0,AK13&gt;0),AK13,0),0)</f>
        <v>0</v>
      </c>
      <c r="AN13" s="376" t="str">
        <f>IF($BK$6=$BM$3,AM13," - ")</f>
        <v> - </v>
      </c>
      <c r="AO13" s="377">
        <f>IF(ISNA(VLOOKUP(AD13-1,srednie!$A$4:$AN$976,38,FALSE))=TRUE,0,VLOOKUP(AD13-1,srednie!$A$4:$AN$976,38,FALSE))</f>
        <v>0</v>
      </c>
      <c r="AP13" s="377">
        <f>IF(ISNA(VLOOKUP(AD13-2,srednie!$A$4:$AN$976,38,FALSE))=TRUE,0,VLOOKUP(AD13-2,srednie!$A$4:$AN$976,38,FALSE))</f>
        <v>0</v>
      </c>
      <c r="AQ13" s="377">
        <f>IF(ISNA(VLOOKUP(AD13-3,srednie!$A$4:$AN$976,38,FALSE))=TRUE,0,VLOOKUP(AD13-3,srednie!$A$4:$AN$976,38,FALSE))</f>
        <v>0</v>
      </c>
      <c r="AR13" s="377">
        <f>IF(ISNA(VLOOKUP(AD13-4,srednie!$A$4:$AN$976,38,FALSE))=TRUE,0,VLOOKUP(AD13-4,srednie!$A$4:$AN$976,38,FALSE))</f>
        <v>0</v>
      </c>
      <c r="AS13" s="377">
        <f>IF(ISNA(VLOOKUP(AD13-5,srednie!$A$4:$AN$976,38,FALSE))=TRUE,0,VLOOKUP(AD13-5,srednie!$A$4:$AN$976,38,FALSE))</f>
        <v>0</v>
      </c>
      <c r="AT13" s="377">
        <f>IF(ISNA(VLOOKUP(AD13-6,srednie!$A$4:$AN$976,38,FALSE))=TRUE,0,VLOOKUP(AD13-6,srednie!$A$4:$AN$976,38,FALSE))</f>
        <v>0</v>
      </c>
      <c r="AU13" s="378">
        <f>IF(ISNA(VLOOKUP(AD13-7,srednie!$A$4:$AN$976,38,FALSE))=TRUE,0,VLOOKUP(AD13-7,srednie!$A$4:$AN$976,38,FALSE))</f>
        <v>0</v>
      </c>
      <c r="AV13" s="379">
        <f>IF(AO13=BE13,VLOOKUP(AD13-1,srednie!$A$4:$AN$976,39,TRUE),0)</f>
        <v>0</v>
      </c>
      <c r="AW13" s="377">
        <f>IF(AND(AP13=BE13,AV13=0),VLOOKUP(AD13-2,srednie!$A$4:$AN$976,39,TRUE),AV13)</f>
        <v>0</v>
      </c>
      <c r="AX13" s="377">
        <f>IF(AND(AQ13=BE13,AW13=0),VLOOKUP(AD13-3,srednie!$A$4:$AN$976,39,TRUE),AW13)</f>
        <v>0</v>
      </c>
      <c r="AY13" s="377">
        <f>IF(AND(AR13=BE13,AX13=0),VLOOKUP(AD13-4,srednie!$A$4:$AN$976,39,TRUE),AX13)</f>
        <v>0</v>
      </c>
      <c r="AZ13" s="377">
        <f>IF(AND(AS13=BE13,AY13=0),VLOOKUP(AD13-5,srednie!$A$4:$AN$976,39,TRUE),AY13)</f>
        <v>0</v>
      </c>
      <c r="BA13" s="377">
        <f>IF(AND(AT13=BE13,AZ13=0),VLOOKUP(AD13-6,srednie!$A$4:$AN$976,39,TRUE),AZ13)</f>
        <v>0</v>
      </c>
      <c r="BB13" s="377">
        <f>IF(AND(AU13=BE13,BA13=0),VLOOKUP(AD13-7,srednie!$A$4:$AN$976,39,TRUE),BA13)</f>
        <v>0</v>
      </c>
      <c r="BC13" s="377">
        <f>IF(AO13&gt;0,AO13,0)+IF(AND(AO13=0,AP13&gt;0),AP13,0)+IF(AND(AO13=0,AP13=0,AQ13&gt;0),AQ13,0)+IF(AND(AO13=0,AP13=0,AQ13=0,AR13&gt;0),AR13,0)+IF(AND(AO13=0,AP13=0,AQ13=0,AR13=0,AS13&gt;0),AS13,0)+IF(AND(AO13=0,AP13=0,AQ13=0,AR13=0,AS13=0,AT13&gt;0),AT13,0)+IF(AND(AO13=0,AP13=0,AQ13=0,AR13=0,AS13=0,AT13=0,AU13&gt;0),AU13,0)</f>
        <v>0</v>
      </c>
      <c r="BD13" s="377" t="str">
        <f>IF(AD13&lt;&gt;0,BB13," - ")</f>
        <v> - </v>
      </c>
      <c r="BE13" s="380" t="str">
        <f>IF($BK$6=$BM$3,BC13," ")</f>
        <v> </v>
      </c>
      <c r="BF13" s="381" t="str">
        <f>IF($BK$6=$BM$3,BD13,$BM$4)</f>
        <v>kursy banku</v>
      </c>
      <c r="BG13" s="373">
        <f>IF(AN13=" - ",0,AE13*AN13)</f>
        <v>0</v>
      </c>
      <c r="BH13" s="390">
        <f>IF(AND(AC13&gt;BG13,BG13&lt;&gt;0,BQ14&gt;=BR14),AC13-BG13,0)</f>
        <v>0</v>
      </c>
      <c r="BI13" s="390">
        <f>IF(AND(AC13&lt;BG13,BG13&lt;&gt;0,BQ14&gt;=BR14),BG13-AC13,0)</f>
        <v>0</v>
      </c>
      <c r="BJ13" s="59"/>
      <c r="BK13" s="382" t="e">
        <f t="shared" si="0"/>
        <v>#REF!</v>
      </c>
      <c r="BN13" s="40">
        <f>IF($BS$3=C9,$BS$1,0)+IF($BT$3=C9,$BT$1,0)+IF($BU$3=C9,$BU$1,0)+IF($BV$3=C9,$BV$1,0)+IF($BW$3=C9,$BW$1,0)+IF($BX$3=C9,$BX$1,0)+IF($BY$3=C9,$BY$1,0)+IF($BZ$3=C9,$BZ$1,0)+IF($CA$3=C9,$CA$1,0)+IF($CB$3=C9,$CB$1,0)+IF($CC$3=C9,$CC$1,0)+IF($CD$3=C9,$CD$1,0)+IF($CE$3=C9,$CE$1,0)+IF($CF$3=C9,$CF$1,0)+IF($CG$3=C9,$CG$1,0)+IF($CH$3=C9,$CH$1,0)+IF($CI$3=C9,$CI$1,0)+IF($CJ$3=C9,$CJ$1,0)+IF($CK$3=C9,$CK$1,0)+IF($CL$3=C9,$CL$1,0)+IF($CM$3=C9,$CM$1,0)+IF($CN$3=C9,$CN$1,0)+IF($CO$3=C9,$CO$1,0)+IF($CP$3=C9,$CP$1,0)+IF($CQ$3=C9,$CQ$1,0)+IF($CR$3=C9,$CR$1,0)+IF($CS$3=C9,$CS$1,0)+IF($CT$3=C9,$CT$1,0)+IF($CU$3=C9,$CU$1,0)+IF($CV$3=C9,$CV$1,0)+IF($CW$3=C9,$CW$1,0)+IF($CX$3=C9,$CX$1,0)+IF($CY$3=C9,$CY$1,0)+IF($CZ$3=C9,$CZ$1,0)+IF($DA$3=C9,$DA$1,0)+IF($DB$3=C9,$DB$1,0)</f>
        <v>9</v>
      </c>
      <c r="BO13" s="354">
        <f>IF(B9&gt;AD13,AD13,B9)</f>
        <v>0</v>
      </c>
      <c r="BP13" s="354">
        <f>IF(B9&gt;AD13,B9,AD13)</f>
        <v>40952</v>
      </c>
      <c r="BQ13" s="383" t="e">
        <f>IF(AND($BR$6&gt;=BO13),1,0)</f>
        <v>#REF!</v>
      </c>
      <c r="BR13" s="384" t="e">
        <f>IF(AND($BR$6&gt;=BP13,BP13&gt;=$BQ$6),1,0)</f>
        <v>#REF!</v>
      </c>
      <c r="BS13" s="385" t="e">
        <f>IF(AND(BQ13&gt;0,BR13&gt;0),1,0)</f>
        <v>#REF!</v>
      </c>
      <c r="BT13" s="40">
        <f>IF(AE3=BU13,5,0)</f>
        <v>0</v>
      </c>
      <c r="BU13" s="40" t="s">
        <v>391</v>
      </c>
      <c r="BW13" s="353" t="e">
        <f>BW12+30</f>
        <v>#REF!</v>
      </c>
      <c r="BX13" s="386" t="e">
        <f>BW13+31</f>
        <v>#REF!</v>
      </c>
      <c r="BY13" s="387"/>
      <c r="BZ13" s="387"/>
    </row>
    <row r="14" spans="1:78" s="40" customFormat="1" ht="14.25" hidden="1" thickBot="1" thickTop="1">
      <c r="A14" s="681"/>
      <c r="B14" s="682"/>
      <c r="C14" s="682"/>
      <c r="D14" s="401" t="e">
        <f>IF(BS9&gt;0,D9,0)+IF(BS10&gt;0,D10,0)+IF(BS11&gt;0,D11,0)+IF(BS12&gt;0,D12,0)+IF(BS13&gt;0,D13,0)</f>
        <v>#REF!</v>
      </c>
      <c r="E14" s="402"/>
      <c r="F14" s="402"/>
      <c r="G14" s="402"/>
      <c r="H14" s="402"/>
      <c r="I14" s="402"/>
      <c r="J14" s="402"/>
      <c r="K14" s="402"/>
      <c r="L14" s="403"/>
      <c r="M14" s="403"/>
      <c r="N14" s="403"/>
      <c r="O14" s="403"/>
      <c r="P14" s="403"/>
      <c r="Q14" s="403"/>
      <c r="R14" s="403"/>
      <c r="S14" s="403"/>
      <c r="T14" s="404"/>
      <c r="U14" s="404"/>
      <c r="V14" s="404"/>
      <c r="W14" s="404"/>
      <c r="X14" s="404"/>
      <c r="Y14" s="404"/>
      <c r="Z14" s="404"/>
      <c r="AA14" s="723"/>
      <c r="AB14" s="724"/>
      <c r="AC14" s="395" t="e">
        <f>IF(BS9&gt;0,AC9,0)+IF(BS10&gt;0,AC10,0)+IF(BS11&gt;0,AC11,0)+IF(BS12&gt;0,AC12,0)+IF(BS13&gt;0,AC13,0)</f>
        <v>#REF!</v>
      </c>
      <c r="AD14" s="396"/>
      <c r="AE14" s="391" t="e">
        <f>IF(BS9&gt;0,AE9,0)+IF(BS10&gt;0,AE10,0)+IF(BS11&gt;0,AE11,0)+IF(BS12&gt;0,AE12,0)+IF(BS13&gt;0,AE13,0)</f>
        <v>#REF!</v>
      </c>
      <c r="AF14" s="392"/>
      <c r="AG14" s="392"/>
      <c r="AH14" s="392"/>
      <c r="AI14" s="392"/>
      <c r="AJ14" s="392"/>
      <c r="AK14" s="392"/>
      <c r="AL14" s="392"/>
      <c r="AM14" s="392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4"/>
      <c r="BD14" s="394"/>
      <c r="BE14" s="721"/>
      <c r="BF14" s="722"/>
      <c r="BG14" s="391" t="e">
        <f>IF(BS9&gt;0,BG9,0)+IF(BS10&gt;0,BG10,0)+IF(BS11&gt;0,BG11,0)+IF(BS12&gt;0,BG12,0)+IF(BS13&gt;0,BG13,0)</f>
        <v>#REF!</v>
      </c>
      <c r="BH14" s="391" t="e">
        <f>IF(BS9&gt;0,BH9,0)+IF(BS10&gt;0,BH10,0)+IF(BS11&gt;0,BH11,0)+IF(BS12&gt;0,BH12,0)+IF(BS13&gt;0,BH13,0)</f>
        <v>#REF!</v>
      </c>
      <c r="BI14" s="397" t="e">
        <f>IF(BS9&gt;0,BI9,0)+IF(BS10&gt;0,BI10,0)+IF(BS11&gt;0,BI11,0)+IF(BS12&gt;0,BI12,0)+IF(BS13&gt;0,BI13,0)</f>
        <v>#REF!</v>
      </c>
      <c r="BJ14" s="59"/>
      <c r="BK14" s="382" t="e">
        <f t="shared" si="0"/>
        <v>#REF!</v>
      </c>
      <c r="BL14" s="398" t="e">
        <f>BH14</f>
        <v>#REF!</v>
      </c>
      <c r="BM14" s="398" t="e">
        <f>BI14</f>
        <v>#REF!</v>
      </c>
      <c r="BQ14" s="398">
        <f>SUM(D9:D13)</f>
        <v>0</v>
      </c>
      <c r="BR14" s="398">
        <f>SUM(AE9:AE13)</f>
        <v>0</v>
      </c>
      <c r="BS14" s="399" t="e">
        <f>IF(OR(BS9=1,BS10=1,BS11=1,BS12=1,BS13=1),1,0)</f>
        <v>#REF!</v>
      </c>
      <c r="BT14" s="40">
        <f>IF(AE3=BU14,6,0)</f>
        <v>0</v>
      </c>
      <c r="BU14" s="40" t="s">
        <v>392</v>
      </c>
      <c r="BW14" s="353" t="e">
        <f>BW13+31</f>
        <v>#REF!</v>
      </c>
      <c r="BX14" s="386" t="e">
        <f>BW14+30</f>
        <v>#REF!</v>
      </c>
      <c r="BY14" s="387"/>
      <c r="BZ14" s="387"/>
    </row>
    <row r="15" ht="12.75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</sheetData>
  <sheetProtection/>
  <autoFilter ref="BK7:BK14"/>
  <mergeCells count="49">
    <mergeCell ref="A1:D1"/>
    <mergeCell ref="BE14:BF14"/>
    <mergeCell ref="AV8:BB8"/>
    <mergeCell ref="AO8:AU8"/>
    <mergeCell ref="AA14:AB14"/>
    <mergeCell ref="O9:O13"/>
    <mergeCell ref="P9:P13"/>
    <mergeCell ref="AE2:BH2"/>
    <mergeCell ref="A6:AC6"/>
    <mergeCell ref="AD6:BG6"/>
    <mergeCell ref="BH6:BI6"/>
    <mergeCell ref="A2:AD2"/>
    <mergeCell ref="A3:AD3"/>
    <mergeCell ref="Z9:Z13"/>
    <mergeCell ref="M8:S8"/>
    <mergeCell ref="T8:Z8"/>
    <mergeCell ref="C9:C13"/>
    <mergeCell ref="B9:B13"/>
    <mergeCell ref="I9:I13"/>
    <mergeCell ref="Y9:Y13"/>
    <mergeCell ref="BS7:BS8"/>
    <mergeCell ref="BR7:BR8"/>
    <mergeCell ref="AA9:AA13"/>
    <mergeCell ref="BQ7:BQ8"/>
    <mergeCell ref="AA7:AB7"/>
    <mergeCell ref="AA8:AB8"/>
    <mergeCell ref="AB9:AB13"/>
    <mergeCell ref="BE7:BF7"/>
    <mergeCell ref="BE8:BF8"/>
    <mergeCell ref="A14:C14"/>
    <mergeCell ref="X9:X13"/>
    <mergeCell ref="L9:L13"/>
    <mergeCell ref="M9:M13"/>
    <mergeCell ref="N9:N13"/>
    <mergeCell ref="Q9:Q13"/>
    <mergeCell ref="R9:R13"/>
    <mergeCell ref="S9:S13"/>
    <mergeCell ref="W9:W13"/>
    <mergeCell ref="A9:A13"/>
    <mergeCell ref="V9:V13"/>
    <mergeCell ref="J9:J13"/>
    <mergeCell ref="K9:K13"/>
    <mergeCell ref="T9:T13"/>
    <mergeCell ref="U9:U13"/>
    <mergeCell ref="E8:K8"/>
    <mergeCell ref="E9:E13"/>
    <mergeCell ref="F9:F13"/>
    <mergeCell ref="G9:G13"/>
    <mergeCell ref="H9:H13"/>
  </mergeCells>
  <conditionalFormatting sqref="E9:K9">
    <cfRule type="expression" priority="1" dxfId="9" stopIfTrue="1">
      <formula>$D9&lt;&gt;$AE9</formula>
    </cfRule>
  </conditionalFormatting>
  <conditionalFormatting sqref="BH9:BI9 AE9:AM9">
    <cfRule type="expression" priority="2" dxfId="2" stopIfTrue="1">
      <formula>AND($BS9=1,$D9&lt;&gt;$AE9)</formula>
    </cfRule>
    <cfRule type="expression" priority="3" dxfId="1" stopIfTrue="1">
      <formula>AND($BS9=1,$D9=$AE9)</formula>
    </cfRule>
  </conditionalFormatting>
  <conditionalFormatting sqref="D9 BH10:BI13">
    <cfRule type="expression" priority="4" dxfId="1" stopIfTrue="1">
      <formula>AND($BS9=1,$D9=$AE9)</formula>
    </cfRule>
    <cfRule type="expression" priority="5" dxfId="2" stopIfTrue="1">
      <formula>AND($BS9=1,$D9&lt;&gt;$AE9)</formula>
    </cfRule>
  </conditionalFormatting>
  <conditionalFormatting sqref="AC9:AD9 AN9:BG9 AC12 AN11 AN13 AD10:AD13 BC11:BG11 BC13:BG13">
    <cfRule type="expression" priority="6" dxfId="1" stopIfTrue="1">
      <formula>AND($BS9=1)</formula>
    </cfRule>
  </conditionalFormatting>
  <conditionalFormatting sqref="AE10:AE13 D10:D13">
    <cfRule type="expression" priority="7" dxfId="1" stopIfTrue="1">
      <formula>AND($BS10=1,$D10=$AE10)</formula>
    </cfRule>
    <cfRule type="expression" priority="8" dxfId="2" stopIfTrue="1">
      <formula>AND($BS10=1,$D10&lt;&gt;$AE10)</formula>
    </cfRule>
  </conditionalFormatting>
  <conditionalFormatting sqref="AC10:AC11 AN12 AC13 AN10 BE10:BG10 BE12:BG12">
    <cfRule type="expression" priority="9" dxfId="1" stopIfTrue="1">
      <formula>$BS10=1</formula>
    </cfRule>
  </conditionalFormatting>
  <dataValidations count="4">
    <dataValidation type="list" allowBlank="1" showInputMessage="1" showErrorMessage="1" sqref="AE3:AM3">
      <formula1>$BU$9:$BU$14</formula1>
    </dataValidation>
    <dataValidation type="list" allowBlank="1" showInputMessage="1" showErrorMessage="1" sqref="AN3:BE3">
      <formula1>#REF!</formula1>
    </dataValidation>
    <dataValidation type="list" allowBlank="1" showInputMessage="1" showErrorMessage="1" sqref="C9">
      <formula1>$BS$3:$DB$3</formula1>
    </dataValidation>
    <dataValidation type="list" allowBlank="1" showInputMessage="1" showErrorMessage="1" sqref="BK6">
      <formula1>$BM$3:$BM$4</formula1>
    </dataValidation>
  </dataValidations>
  <printOptions/>
  <pageMargins left="1.15" right="0.75" top="1" bottom="1" header="0.5" footer="0.5"/>
  <pageSetup horizontalDpi="300" verticalDpi="300" orientation="landscape" paperSize="9" scale="52" r:id="rId1"/>
  <headerFooter alignWithMargins="0">
    <oddFooter>&amp;LBIURO RACHUNKOWE "VERUM" S.C. UL. POŁANIECKA 6D 53-403 WROCŁAW&amp;CStrona &amp;P z &amp;N&amp;R&amp;D</oddFooter>
  </headerFooter>
  <colBreaks count="2" manualBreakCount="2">
    <brk id="62" max="65535" man="1"/>
    <brk id="6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66"/>
  <sheetViews>
    <sheetView showGridLines="0" view="pageBreakPreview" zoomScale="60" zoomScaleNormal="60" zoomScalePageLayoutView="0" workbookViewId="0" topLeftCell="A15">
      <selection activeCell="B23" sqref="B23"/>
    </sheetView>
  </sheetViews>
  <sheetFormatPr defaultColWidth="0" defaultRowHeight="12.75" zeroHeight="1"/>
  <cols>
    <col min="1" max="1" width="26.7109375" style="0" customWidth="1"/>
    <col min="2" max="2" width="16.7109375" style="0" customWidth="1"/>
    <col min="3" max="3" width="13.421875" style="0" bestFit="1" customWidth="1"/>
    <col min="4" max="4" width="38.421875" style="0" customWidth="1"/>
    <col min="5" max="5" width="2.00390625" style="0" customWidth="1"/>
    <col min="6" max="6" width="16.7109375" style="0" customWidth="1"/>
    <col min="7" max="7" width="13.421875" style="0" bestFit="1" customWidth="1"/>
    <col min="8" max="10" width="17.57421875" style="0" customWidth="1"/>
    <col min="11" max="11" width="17.140625" style="0" customWidth="1"/>
    <col min="12" max="12" width="5.140625" style="0" customWidth="1"/>
    <col min="13" max="13" width="9.140625" style="0" customWidth="1"/>
    <col min="14" max="14" width="10.421875" style="0" customWidth="1"/>
    <col min="15" max="15" width="53.7109375" style="0" customWidth="1"/>
    <col min="16" max="16" width="33.28125" style="0" customWidth="1"/>
    <col min="17" max="17" width="15.00390625" style="0" customWidth="1"/>
    <col min="18" max="18" width="34.00390625" style="0" customWidth="1"/>
    <col min="19" max="19" width="37.57421875" style="0" customWidth="1"/>
    <col min="20" max="20" width="8.28125" style="0" customWidth="1"/>
    <col min="21" max="21" width="9.140625" style="0" customWidth="1"/>
    <col min="22" max="22" width="10.140625" style="0" customWidth="1"/>
    <col min="23" max="23" width="33.28125" style="0" customWidth="1"/>
    <col min="24" max="25" width="9.140625" style="0" customWidth="1"/>
    <col min="26" max="26" width="14.140625" style="0" customWidth="1"/>
    <col min="27" max="16384" width="0" style="0" hidden="1" customWidth="1"/>
  </cols>
  <sheetData>
    <row r="1" spans="1:11" ht="105" customHeight="1" thickBot="1">
      <c r="A1" s="164">
        <f>IF(AND(T55=0,K21&lt;&gt;0),"BŁĄD POLA ' NOCLEGI WG RACHUNKÓW ! ! ! '","")&amp;IF(Z12&lt;&gt;0," BŁĄD W DATACH I GODZINACH 'WYJAZDÓW' ! ! !","")&amp;IF(AC12&lt;&gt;0," BŁĄD W DATACH I GODZINACH 'PRZYJAZDY' ! ! !'","")</f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9" ht="19.5" customHeight="1">
      <c r="A2" s="165" t="s">
        <v>12</v>
      </c>
      <c r="B2" s="166"/>
      <c r="C2" s="167"/>
      <c r="D2" s="168" t="s">
        <v>16</v>
      </c>
      <c r="E2" s="166"/>
      <c r="F2" s="166"/>
      <c r="G2" s="167"/>
      <c r="H2" s="169" t="s">
        <v>17</v>
      </c>
      <c r="I2" s="114" t="s">
        <v>71</v>
      </c>
      <c r="J2" s="114" t="s">
        <v>73</v>
      </c>
      <c r="K2" s="170" t="s">
        <v>18</v>
      </c>
      <c r="O2" s="89" t="s">
        <v>53</v>
      </c>
      <c r="P2" s="90">
        <v>23</v>
      </c>
      <c r="S2" s="90"/>
    </row>
    <row r="3" spans="1:29" ht="19.5" customHeight="1">
      <c r="A3" s="33" t="s">
        <v>13</v>
      </c>
      <c r="B3" s="32" t="s">
        <v>14</v>
      </c>
      <c r="C3" s="32" t="s">
        <v>15</v>
      </c>
      <c r="D3" s="171" t="s">
        <v>13</v>
      </c>
      <c r="E3" s="172"/>
      <c r="F3" s="32" t="s">
        <v>14</v>
      </c>
      <c r="G3" s="32" t="s">
        <v>15</v>
      </c>
      <c r="H3" s="173"/>
      <c r="I3" s="115" t="s">
        <v>72</v>
      </c>
      <c r="J3" s="115" t="s">
        <v>74</v>
      </c>
      <c r="K3" s="174"/>
      <c r="S3" s="90"/>
      <c r="Z3" s="5" t="s">
        <v>81</v>
      </c>
      <c r="AA3" s="130"/>
      <c r="AC3" t="s">
        <v>82</v>
      </c>
    </row>
    <row r="4" spans="1:23" ht="25.5" customHeight="1">
      <c r="A4" s="81" t="s">
        <v>52</v>
      </c>
      <c r="B4" s="23">
        <v>40578</v>
      </c>
      <c r="C4" s="131">
        <v>0.302083333333333</v>
      </c>
      <c r="D4" s="175" t="s">
        <v>85</v>
      </c>
      <c r="E4" s="176"/>
      <c r="F4" s="23">
        <v>40578</v>
      </c>
      <c r="G4" s="131">
        <v>0.4375</v>
      </c>
      <c r="H4" s="113">
        <f>'delegacja zagraniczna - verum'!$B$32</f>
        <v>0</v>
      </c>
      <c r="I4" s="121"/>
      <c r="J4" s="120"/>
      <c r="K4" s="88">
        <v>48.9</v>
      </c>
      <c r="M4">
        <f>IF(OR(A4=0,F4=0,D4=0,F4=0),0,1)</f>
        <v>1</v>
      </c>
      <c r="N4" s="83">
        <f>IF(AND(F4&lt;&gt;0,G4&lt;&gt;""),1,0)</f>
        <v>1</v>
      </c>
      <c r="O4" s="84">
        <f aca="true" t="shared" si="0" ref="O4:O9">IF(AND(N5=0,N4=1,O5=0),F4,0)</f>
        <v>0</v>
      </c>
      <c r="P4" s="85">
        <f aca="true" t="shared" si="1" ref="P4:P10">IF(AND(P5=0,N5=0,N4=1),G4,0)</f>
        <v>0</v>
      </c>
      <c r="V4" s="127">
        <f>O12-F4</f>
        <v>0</v>
      </c>
      <c r="W4" s="128">
        <f>P12-G5</f>
        <v>0</v>
      </c>
    </row>
    <row r="5" spans="1:29" ht="25.5" customHeight="1">
      <c r="A5" s="81" t="s">
        <v>86</v>
      </c>
      <c r="B5" s="23">
        <v>40578</v>
      </c>
      <c r="C5" s="131">
        <v>0.708333333333333</v>
      </c>
      <c r="D5" s="175" t="s">
        <v>52</v>
      </c>
      <c r="E5" s="176"/>
      <c r="F5" s="23">
        <v>40578</v>
      </c>
      <c r="G5" s="131">
        <v>0.854166666666667</v>
      </c>
      <c r="H5" s="113" t="s">
        <v>83</v>
      </c>
      <c r="I5" s="121"/>
      <c r="J5" s="120"/>
      <c r="K5" s="88">
        <v>59.6</v>
      </c>
      <c r="M5">
        <f aca="true" t="shared" si="2" ref="M5:M11">IF(OR(A5=0,B5=0,D5=0,F5=0),0,1)</f>
        <v>1</v>
      </c>
      <c r="N5" s="83">
        <f aca="true" t="shared" si="3" ref="N5:N11">IF(AND(F5&lt;&gt;0,G5&lt;&gt;"",N4=1),1,0)</f>
        <v>1</v>
      </c>
      <c r="O5" s="84">
        <f t="shared" si="0"/>
        <v>40578</v>
      </c>
      <c r="P5" s="85">
        <f t="shared" si="1"/>
        <v>0.854166666666667</v>
      </c>
      <c r="R5" s="98">
        <f>G5</f>
        <v>0.854166666666667</v>
      </c>
      <c r="V5" s="126">
        <v>1</v>
      </c>
      <c r="W5" s="126">
        <f>V5*V4</f>
        <v>0</v>
      </c>
      <c r="Z5" s="5">
        <f>IF(OR(B5&lt;B4,AND(C5&lt;C4,B5=B4)),1,0)-IF(OR(B5=0,C5=0),1,0)</f>
        <v>0</v>
      </c>
      <c r="AA5" s="5">
        <f>IF(OR(F5&lt;F4,AND(G5&lt;G4,F5=F4),OR(F4=0,G4=0)),1,0)-IF(AND(B5=0,C5=0),1,0)</f>
        <v>0</v>
      </c>
      <c r="AB5" s="5">
        <f>IF(OR(F5&lt;B5,AND(G5&lt;C5,F5=B5)),1,0)</f>
        <v>0</v>
      </c>
      <c r="AC5" s="5">
        <f>AA5+AB5</f>
        <v>0</v>
      </c>
    </row>
    <row r="6" spans="1:29" ht="25.5" customHeight="1">
      <c r="A6" s="81"/>
      <c r="B6" s="23"/>
      <c r="C6" s="131"/>
      <c r="D6" s="175"/>
      <c r="E6" s="176"/>
      <c r="F6" s="23"/>
      <c r="G6" s="131"/>
      <c r="H6" s="113"/>
      <c r="I6" s="121"/>
      <c r="J6" s="120"/>
      <c r="K6" s="88"/>
      <c r="M6">
        <f t="shared" si="2"/>
        <v>0</v>
      </c>
      <c r="N6" s="83">
        <f t="shared" si="3"/>
        <v>0</v>
      </c>
      <c r="O6" s="84">
        <f t="shared" si="0"/>
        <v>0</v>
      </c>
      <c r="P6" s="85">
        <f t="shared" si="1"/>
        <v>0</v>
      </c>
      <c r="R6" s="98">
        <f>P12</f>
        <v>0.854166666666667</v>
      </c>
      <c r="W6" s="96">
        <f>W5+W4</f>
        <v>0</v>
      </c>
      <c r="Z6" s="5">
        <f>IF(OR(B6&lt;B5,AND(C6&lt;C5,B6=B5)),1,0)-IF(OR(B6=0,C6=0),1,0)</f>
        <v>0</v>
      </c>
      <c r="AA6" s="5">
        <f aca="true" t="shared" si="4" ref="AA6:AA11">IF(OR(F6&lt;F5,AND(G6&lt;G5,F6=F5),OR(F5=0,G5=0)),1,0)-IF(AND(B6=0,C6=0),1,0)</f>
        <v>0</v>
      </c>
      <c r="AB6" s="5">
        <f aca="true" t="shared" si="5" ref="AB6:AB11">IF(OR(F6&lt;B6,AND(G6&lt;C6,F6=B6)),1,0)</f>
        <v>0</v>
      </c>
      <c r="AC6" s="5">
        <f aca="true" t="shared" si="6" ref="AC6:AC11">AA6+AB6</f>
        <v>0</v>
      </c>
    </row>
    <row r="7" spans="1:29" ht="25.5" customHeight="1">
      <c r="A7" s="81"/>
      <c r="B7" s="23"/>
      <c r="C7" s="131"/>
      <c r="D7" s="175"/>
      <c r="E7" s="176"/>
      <c r="F7" s="23"/>
      <c r="G7" s="131"/>
      <c r="H7" s="113">
        <f>'delegacja zagraniczna - verum'!$B$32</f>
        <v>0</v>
      </c>
      <c r="I7" s="121"/>
      <c r="J7" s="120" t="str">
        <f>IF(ISNA(VLOOKUP($H7,'delegacja zagraniczna - verum'!$P$17:$Z$26,8,FALSE))=TRUE,"0,00",VLOOKUP($H7,'delegacja zagraniczna - verum'!$P$17:$Z$26,8,FALSE))</f>
        <v>0,00</v>
      </c>
      <c r="K7" s="88">
        <f>IF($T$53=0,I7*J7,0)</f>
        <v>0</v>
      </c>
      <c r="M7">
        <f t="shared" si="2"/>
        <v>0</v>
      </c>
      <c r="N7" s="83">
        <f t="shared" si="3"/>
        <v>0</v>
      </c>
      <c r="O7" s="84">
        <f t="shared" si="0"/>
        <v>0</v>
      </c>
      <c r="P7" s="85">
        <f t="shared" si="1"/>
        <v>0</v>
      </c>
      <c r="R7" s="98">
        <f>R6-R5</f>
        <v>0</v>
      </c>
      <c r="Y7" s="96"/>
      <c r="Z7" s="5">
        <f>IF(OR(B7&lt;B6,AND(C7&lt;C6,B7=B6),OR(B6=0,C6=0)),1,0)-IF(OR(B7=0,C7=0),1,0)</f>
        <v>0</v>
      </c>
      <c r="AA7" s="5">
        <f t="shared" si="4"/>
        <v>0</v>
      </c>
      <c r="AB7" s="5">
        <f t="shared" si="5"/>
        <v>0</v>
      </c>
      <c r="AC7" s="5">
        <f t="shared" si="6"/>
        <v>0</v>
      </c>
    </row>
    <row r="8" spans="1:29" ht="25.5" customHeight="1">
      <c r="A8" s="81"/>
      <c r="B8" s="23"/>
      <c r="C8" s="131"/>
      <c r="D8" s="175"/>
      <c r="E8" s="176"/>
      <c r="F8" s="23"/>
      <c r="G8" s="131"/>
      <c r="H8" s="113">
        <f>'delegacja zagraniczna - verum'!$B$32</f>
        <v>0</v>
      </c>
      <c r="I8" s="121"/>
      <c r="J8" s="120" t="str">
        <f>IF(ISNA(VLOOKUP($H8,'delegacja zagraniczna - verum'!$P$17:$Z$26,8,FALSE))=TRUE,"0,00",VLOOKUP($H8,'delegacja zagraniczna - verum'!$P$17:$Z$26,8,FALSE))</f>
        <v>0,00</v>
      </c>
      <c r="K8" s="88">
        <f>IF($T$53=0,I8*J8,0)</f>
        <v>0</v>
      </c>
      <c r="L8" s="1"/>
      <c r="M8">
        <f t="shared" si="2"/>
        <v>0</v>
      </c>
      <c r="N8" s="83">
        <f t="shared" si="3"/>
        <v>0</v>
      </c>
      <c r="O8" s="84">
        <f t="shared" si="0"/>
        <v>0</v>
      </c>
      <c r="P8" s="85">
        <f t="shared" si="1"/>
        <v>0</v>
      </c>
      <c r="R8" s="98">
        <f>1+R7</f>
        <v>1</v>
      </c>
      <c r="W8" s="98">
        <f>W6</f>
        <v>0</v>
      </c>
      <c r="Z8" s="5">
        <f>IF(OR(B8&lt;B7,AND(C8&lt;C7,B8=B7),OR(B7=0,C7=0)),1,0)-IF(OR(B8=0,C8=0),1,0)</f>
        <v>0</v>
      </c>
      <c r="AA8" s="5">
        <f t="shared" si="4"/>
        <v>0</v>
      </c>
      <c r="AB8" s="5">
        <f t="shared" si="5"/>
        <v>0</v>
      </c>
      <c r="AC8" s="5">
        <f t="shared" si="6"/>
        <v>0</v>
      </c>
    </row>
    <row r="9" spans="1:29" ht="25.5" customHeight="1">
      <c r="A9" s="81"/>
      <c r="B9" s="23"/>
      <c r="C9" s="131"/>
      <c r="D9" s="175"/>
      <c r="E9" s="176"/>
      <c r="F9" s="23"/>
      <c r="G9" s="131"/>
      <c r="H9" s="113">
        <f>'delegacja zagraniczna - verum'!$B$32</f>
        <v>0</v>
      </c>
      <c r="I9" s="121"/>
      <c r="J9" s="120" t="str">
        <f>IF(ISNA(VLOOKUP($H9,'delegacja zagraniczna - verum'!$P$17:$Z$26,8,FALSE))=TRUE,"0,00",VLOOKUP($H9,'delegacja zagraniczna - verum'!$P$17:$Z$26,8,FALSE))</f>
        <v>0,00</v>
      </c>
      <c r="K9" s="88">
        <f>IF($T$53=0,I9*J9,0)</f>
        <v>0</v>
      </c>
      <c r="M9">
        <f t="shared" si="2"/>
        <v>0</v>
      </c>
      <c r="N9" s="83">
        <f t="shared" si="3"/>
        <v>0</v>
      </c>
      <c r="O9" s="84">
        <f t="shared" si="0"/>
        <v>0</v>
      </c>
      <c r="P9" s="85">
        <f t="shared" si="1"/>
        <v>0</v>
      </c>
      <c r="Q9" s="82"/>
      <c r="Z9" s="5">
        <f>IF(OR(B9&lt;B8,AND(C9&lt;C8,B9=B8),OR(B8=0,C8=0)),1,0)-IF(OR(B9=0,C9=0),1,0)</f>
        <v>0</v>
      </c>
      <c r="AA9" s="5">
        <f t="shared" si="4"/>
        <v>0</v>
      </c>
      <c r="AB9" s="5">
        <f t="shared" si="5"/>
        <v>0</v>
      </c>
      <c r="AC9" s="5">
        <f t="shared" si="6"/>
        <v>0</v>
      </c>
    </row>
    <row r="10" spans="1:29" ht="25.5" customHeight="1">
      <c r="A10" s="81"/>
      <c r="B10" s="23"/>
      <c r="C10" s="131"/>
      <c r="D10" s="175"/>
      <c r="E10" s="176"/>
      <c r="F10" s="23"/>
      <c r="G10" s="132"/>
      <c r="H10" s="113">
        <f>'delegacja zagraniczna - verum'!$B$32</f>
        <v>0</v>
      </c>
      <c r="I10" s="121"/>
      <c r="J10" s="120" t="str">
        <f>IF(ISNA(VLOOKUP($H10,'delegacja zagraniczna - verum'!$P$17:$Z$26,8,FALSE))=TRUE,"0,00",VLOOKUP($H10,'delegacja zagraniczna - verum'!$P$17:$Z$26,8,FALSE))</f>
        <v>0,00</v>
      </c>
      <c r="K10" s="88">
        <f>IF($T$53=0,I10*J10,0)</f>
        <v>0</v>
      </c>
      <c r="M10">
        <f t="shared" si="2"/>
        <v>0</v>
      </c>
      <c r="N10" s="83">
        <f t="shared" si="3"/>
        <v>0</v>
      </c>
      <c r="O10" s="84">
        <f>IF(AND(N11=0,N10=1,O11=0),F10,0)</f>
        <v>0</v>
      </c>
      <c r="P10" s="85">
        <f t="shared" si="1"/>
        <v>0</v>
      </c>
      <c r="Q10" s="82"/>
      <c r="S10" s="93">
        <f>Q10</f>
        <v>0</v>
      </c>
      <c r="Z10" s="5">
        <f>IF(OR(B10&lt;B9,AND(C10&lt;C9,B10=B9),OR(B9=0,C9=0)),1,0)-IF(OR(B10=0,C10=0),1,0)</f>
        <v>0</v>
      </c>
      <c r="AA10" s="5">
        <f t="shared" si="4"/>
        <v>0</v>
      </c>
      <c r="AB10" s="5">
        <f t="shared" si="5"/>
        <v>0</v>
      </c>
      <c r="AC10" s="5">
        <f t="shared" si="6"/>
        <v>0</v>
      </c>
    </row>
    <row r="11" spans="1:29" ht="25.5" customHeight="1" thickBot="1">
      <c r="A11" s="81"/>
      <c r="B11" s="23"/>
      <c r="C11" s="131"/>
      <c r="D11" s="177"/>
      <c r="E11" s="178"/>
      <c r="F11" s="23"/>
      <c r="G11" s="132"/>
      <c r="H11" s="113">
        <f>'delegacja zagraniczna - verum'!$B$32</f>
        <v>0</v>
      </c>
      <c r="I11" s="121"/>
      <c r="J11" s="120" t="str">
        <f>IF(ISNA(VLOOKUP($H11,'delegacja zagraniczna - verum'!$P$17:$Z$26,8,FALSE))=TRUE,"0,00",VLOOKUP($H11,'delegacja zagraniczna - verum'!$P$17:$Z$26,8,FALSE))</f>
        <v>0,00</v>
      </c>
      <c r="K11" s="88">
        <f>IF($T$53=0,I11*J11,0)</f>
        <v>0</v>
      </c>
      <c r="M11">
        <f t="shared" si="2"/>
        <v>0</v>
      </c>
      <c r="N11" s="83">
        <f t="shared" si="3"/>
        <v>0</v>
      </c>
      <c r="O11" s="84">
        <f>IF(N11&lt;&gt;0,F11,0)</f>
        <v>0</v>
      </c>
      <c r="P11" s="85">
        <f>IF(N11&lt;&gt;0,G11,0)</f>
        <v>0</v>
      </c>
      <c r="Q11" s="97">
        <v>0.5</v>
      </c>
      <c r="S11" s="98">
        <f>Q11</f>
        <v>0.5</v>
      </c>
      <c r="Z11" s="5">
        <f>IF(OR(B11&lt;B10,AND(C11&lt;C10,B11=B10),OR(B10=0,C10=0)),1,0)-IF(OR(B11=0,C11=0),1,0)</f>
        <v>0</v>
      </c>
      <c r="AA11" s="5">
        <f t="shared" si="4"/>
        <v>0</v>
      </c>
      <c r="AB11" s="5">
        <f t="shared" si="5"/>
        <v>0</v>
      </c>
      <c r="AC11" s="5">
        <f t="shared" si="6"/>
        <v>0</v>
      </c>
    </row>
    <row r="12" spans="1:29" ht="21.75" customHeight="1">
      <c r="A12" s="24"/>
      <c r="B12" s="17"/>
      <c r="C12" s="17"/>
      <c r="D12" s="17"/>
      <c r="E12" s="18"/>
      <c r="F12" s="179" t="s">
        <v>20</v>
      </c>
      <c r="G12" s="180"/>
      <c r="H12" s="180"/>
      <c r="I12" s="180"/>
      <c r="J12" s="181"/>
      <c r="K12" s="182">
        <f>IF(T53=1,T25*20%*P2,0)</f>
        <v>0</v>
      </c>
      <c r="O12" s="86">
        <f>SUM(O4:O11)</f>
        <v>40578</v>
      </c>
      <c r="P12" s="87">
        <f>SUM(P4:P11)</f>
        <v>0.854166666666667</v>
      </c>
      <c r="Q12" s="97">
        <v>0.333333333333333</v>
      </c>
      <c r="S12" s="98">
        <f>Q12</f>
        <v>0.333333333333333</v>
      </c>
      <c r="Z12" s="129">
        <f>SUM(Z5:Z11)</f>
        <v>0</v>
      </c>
      <c r="AA12" s="5"/>
      <c r="AB12" s="5"/>
      <c r="AC12" s="129">
        <f>SUM(AC5:AC11)</f>
        <v>0</v>
      </c>
    </row>
    <row r="13" spans="1:11" ht="21.75" customHeight="1">
      <c r="A13" s="21"/>
      <c r="B13" s="11"/>
      <c r="C13" s="124"/>
      <c r="E13" s="16"/>
      <c r="F13" s="183"/>
      <c r="G13" s="184"/>
      <c r="H13" s="184"/>
      <c r="I13" s="184"/>
      <c r="J13" s="185"/>
      <c r="K13" s="186"/>
    </row>
    <row r="14" spans="1:19" ht="21.75" customHeight="1" thickBot="1">
      <c r="A14" s="140" t="s">
        <v>19</v>
      </c>
      <c r="B14" s="135"/>
      <c r="C14" s="135"/>
      <c r="D14" s="135"/>
      <c r="E14" s="13"/>
      <c r="F14" s="187"/>
      <c r="G14" s="188"/>
      <c r="H14" s="188"/>
      <c r="I14" s="188"/>
      <c r="J14" s="189"/>
      <c r="K14" s="190"/>
      <c r="N14" s="90">
        <f>SUM(K4:K11)</f>
        <v>108.5</v>
      </c>
      <c r="O14" s="93">
        <f>O12-B4</f>
        <v>0</v>
      </c>
      <c r="P14" s="98">
        <f>IF(N19=1,P12-C4,0)</f>
        <v>0.552083333333334</v>
      </c>
      <c r="Q14" s="94">
        <f>IF(P12&lt;G5,G5-P12,0)</f>
        <v>0</v>
      </c>
      <c r="R14" s="82"/>
      <c r="S14" s="96">
        <f>P12-G5</f>
        <v>0</v>
      </c>
    </row>
    <row r="15" spans="1:16" ht="21.75" customHeight="1">
      <c r="A15" s="14"/>
      <c r="B15" s="12"/>
      <c r="C15" s="12"/>
      <c r="D15" s="12"/>
      <c r="E15" s="12"/>
      <c r="F15" s="179" t="s">
        <v>21</v>
      </c>
      <c r="G15" s="180"/>
      <c r="H15" s="180"/>
      <c r="I15" s="180"/>
      <c r="J15" s="181"/>
      <c r="K15" s="182">
        <f>K4+K5+K6+K7+K8+K9+K10+K11</f>
        <v>108.5</v>
      </c>
      <c r="O15" s="122">
        <f>IF(OR(O20&lt;0,O21&lt;0),O14-IF(W8&gt;=1,0,1),O14)</f>
        <v>0</v>
      </c>
      <c r="P15" s="123">
        <f>IF(AND(F4=O12,G5&gt;P12),0,IF(P14=0,IF(R8&lt;&gt;1,R8,0),P14))</f>
        <v>0.552083333333334</v>
      </c>
    </row>
    <row r="16" spans="1:17" ht="21.75" customHeight="1">
      <c r="A16" s="25"/>
      <c r="B16" s="2"/>
      <c r="C16" s="2"/>
      <c r="D16" s="2"/>
      <c r="E16" s="2"/>
      <c r="F16" s="183"/>
      <c r="G16" s="184"/>
      <c r="H16" s="184"/>
      <c r="I16" s="184"/>
      <c r="J16" s="185"/>
      <c r="K16" s="186"/>
      <c r="O16" s="91"/>
      <c r="P16" s="91">
        <f>IF(AND(P14&gt;0,P14&lt;=0.333),1/2*P2,0)</f>
        <v>0</v>
      </c>
      <c r="Q16" s="90">
        <f>IF(AND(Q14&gt;0,Q14&gt;0.667),-1/2*P2,0)</f>
        <v>0</v>
      </c>
    </row>
    <row r="17" spans="1:17" ht="21.75" customHeight="1" thickBot="1">
      <c r="A17" s="78" t="s">
        <v>87</v>
      </c>
      <c r="B17" s="2"/>
      <c r="C17" s="2"/>
      <c r="D17" s="77"/>
      <c r="E17" s="6"/>
      <c r="F17" s="187"/>
      <c r="G17" s="188"/>
      <c r="H17" s="188"/>
      <c r="I17" s="188"/>
      <c r="J17" s="189"/>
      <c r="K17" s="190"/>
      <c r="O17" s="91"/>
      <c r="P17" s="91">
        <f>IF(AND(P14&gt;0,P14&gt;0.333),P2,0)</f>
        <v>23</v>
      </c>
      <c r="Q17" s="90">
        <f>IF(AND(Q14&gt;0,Q14&lt;=0.667),-P2,0)</f>
        <v>0</v>
      </c>
    </row>
    <row r="18" spans="1:17" ht="21.75" customHeight="1">
      <c r="A18" s="31" t="s">
        <v>10</v>
      </c>
      <c r="B18" s="2"/>
      <c r="C18" s="2"/>
      <c r="D18" s="6" t="s">
        <v>11</v>
      </c>
      <c r="E18" s="6"/>
      <c r="F18" s="179" t="s">
        <v>23</v>
      </c>
      <c r="G18" s="180"/>
      <c r="H18" s="180"/>
      <c r="I18" s="180"/>
      <c r="J18" s="181"/>
      <c r="K18" s="182">
        <f>IF(T51=1,0,T42)</f>
        <v>0</v>
      </c>
      <c r="N18" s="133">
        <f>O12-B4</f>
        <v>0</v>
      </c>
      <c r="O18" s="90">
        <f>SUM(O16:O17)</f>
        <v>0</v>
      </c>
      <c r="P18" s="90">
        <f>SUM(P16:P17)</f>
        <v>23</v>
      </c>
      <c r="Q18" s="90">
        <f>SUM(Q16:Q17)</f>
        <v>0</v>
      </c>
    </row>
    <row r="19" spans="1:14" ht="21.75" customHeight="1" thickBot="1">
      <c r="A19" s="26"/>
      <c r="B19" s="4"/>
      <c r="C19" s="4"/>
      <c r="D19" s="30"/>
      <c r="E19" s="27"/>
      <c r="F19" s="183"/>
      <c r="G19" s="184"/>
      <c r="H19" s="184"/>
      <c r="I19" s="184"/>
      <c r="J19" s="185"/>
      <c r="K19" s="186"/>
      <c r="N19" s="134">
        <f>IF(AND(N18&lt;=1,P12-C4&lt;=0),0,1)</f>
        <v>1</v>
      </c>
    </row>
    <row r="20" spans="1:16" ht="21.75" customHeight="1" thickBot="1">
      <c r="A20" s="142"/>
      <c r="B20" s="143"/>
      <c r="C20" s="143"/>
      <c r="D20" s="143"/>
      <c r="E20" s="144"/>
      <c r="F20" s="187"/>
      <c r="G20" s="188"/>
      <c r="H20" s="188"/>
      <c r="I20" s="188"/>
      <c r="J20" s="189"/>
      <c r="K20" s="190"/>
      <c r="O20" s="125">
        <f>IF(O12&lt;&gt;F4,-P12-G5,0)</f>
        <v>0</v>
      </c>
      <c r="P20" s="92">
        <f>O18+P18+Q18</f>
        <v>23</v>
      </c>
    </row>
    <row r="21" spans="1:15" ht="21.75" customHeight="1">
      <c r="A21" s="145" t="s">
        <v>22</v>
      </c>
      <c r="B21" s="146">
        <f>'delegacja zagraniczna - verum'!C89</f>
        <v>0</v>
      </c>
      <c r="C21" s="144"/>
      <c r="D21" s="144"/>
      <c r="E21" s="147"/>
      <c r="F21" s="179" t="s">
        <v>24</v>
      </c>
      <c r="G21" s="180"/>
      <c r="H21" s="180"/>
      <c r="I21" s="180"/>
      <c r="J21" s="181"/>
      <c r="K21" s="182"/>
      <c r="O21" s="98">
        <f>IF(O12&lt;&gt;F4,P12-G5,0)</f>
        <v>0</v>
      </c>
    </row>
    <row r="22" spans="1:19" ht="21.75" customHeight="1">
      <c r="A22" s="145"/>
      <c r="B22" s="144"/>
      <c r="C22" s="144"/>
      <c r="D22" s="144"/>
      <c r="E22" s="147"/>
      <c r="F22" s="183"/>
      <c r="G22" s="184"/>
      <c r="H22" s="184"/>
      <c r="I22" s="184"/>
      <c r="J22" s="185"/>
      <c r="K22" s="186"/>
      <c r="P22" s="90">
        <f>IF(AND(O14=0,P14&lt;=S12),0,P20)</f>
        <v>23</v>
      </c>
      <c r="S22">
        <f>IF(AND(0&lt;&gt;P15,P15&lt;S12),1,0)</f>
        <v>0</v>
      </c>
    </row>
    <row r="23" spans="1:16" ht="21.75" customHeight="1" thickBot="1">
      <c r="A23" s="145"/>
      <c r="B23" s="144"/>
      <c r="C23" s="144"/>
      <c r="D23" s="144"/>
      <c r="E23" s="147"/>
      <c r="F23" s="187"/>
      <c r="G23" s="188"/>
      <c r="H23" s="188"/>
      <c r="I23" s="188"/>
      <c r="J23" s="189"/>
      <c r="K23" s="190"/>
      <c r="O23">
        <f>IF(AND(F4&lt;&gt;O12),1,0)</f>
        <v>0</v>
      </c>
      <c r="P23" s="96"/>
    </row>
    <row r="24" spans="1:11" ht="21.75" customHeight="1" thickBot="1">
      <c r="A24" s="145"/>
      <c r="B24" s="144"/>
      <c r="C24" s="144"/>
      <c r="D24" s="144"/>
      <c r="E24" s="144"/>
      <c r="F24" s="179" t="s">
        <v>25</v>
      </c>
      <c r="G24" s="180"/>
      <c r="H24" s="180"/>
      <c r="I24" s="180"/>
      <c r="J24" s="181"/>
      <c r="K24" s="182">
        <v>0</v>
      </c>
    </row>
    <row r="25" spans="1:20" ht="21.75" customHeight="1">
      <c r="A25" s="145"/>
      <c r="B25" s="144"/>
      <c r="C25" s="144"/>
      <c r="D25" s="144"/>
      <c r="E25" s="144"/>
      <c r="F25" s="183"/>
      <c r="G25" s="184"/>
      <c r="H25" s="184"/>
      <c r="I25" s="184"/>
      <c r="J25" s="185"/>
      <c r="K25" s="186"/>
      <c r="N25" s="28"/>
      <c r="O25" s="9"/>
      <c r="P25" s="9"/>
      <c r="Q25" s="10"/>
      <c r="S25" t="s">
        <v>67</v>
      </c>
      <c r="T25" s="108">
        <f>IF(OR(O15&lt;&gt;0,P15&lt;&gt;0),O15+P15+1-IF(P15=0,1,0),0)</f>
        <v>2</v>
      </c>
    </row>
    <row r="26" spans="1:17" ht="21.75" customHeight="1" thickBot="1">
      <c r="A26" s="148" t="s">
        <v>6</v>
      </c>
      <c r="B26" s="191">
        <f>'Excelblog.pl - Kwoty słownie'!B67</f>
      </c>
      <c r="C26" s="191"/>
      <c r="D26" s="191"/>
      <c r="E26" s="144"/>
      <c r="F26" s="187"/>
      <c r="G26" s="188"/>
      <c r="H26" s="188"/>
      <c r="I26" s="188"/>
      <c r="J26" s="189"/>
      <c r="K26" s="190"/>
      <c r="N26" s="25"/>
      <c r="O26" s="2" t="s">
        <v>60</v>
      </c>
      <c r="P26" s="2">
        <f>IF(AND(O15=0,P15&lt;=S11,P15&gt;=S12),P2*0.5,0)</f>
        <v>0</v>
      </c>
      <c r="Q26" s="3"/>
    </row>
    <row r="27" spans="1:17" ht="21.75" customHeight="1">
      <c r="A27" s="149"/>
      <c r="B27" s="144"/>
      <c r="C27" s="144"/>
      <c r="D27" s="144"/>
      <c r="E27" s="147"/>
      <c r="F27" s="179" t="s">
        <v>26</v>
      </c>
      <c r="G27" s="180"/>
      <c r="H27" s="180"/>
      <c r="I27" s="180"/>
      <c r="J27" s="181"/>
      <c r="K27" s="182"/>
      <c r="N27" s="25"/>
      <c r="O27" s="2"/>
      <c r="P27" s="2"/>
      <c r="Q27" s="3"/>
    </row>
    <row r="28" spans="1:17" ht="21.75" customHeight="1">
      <c r="A28" s="145" t="s">
        <v>27</v>
      </c>
      <c r="B28" s="146">
        <f>IF(K44&gt;0,K44,0)</f>
        <v>0</v>
      </c>
      <c r="C28" s="144"/>
      <c r="D28" s="144"/>
      <c r="E28" s="147"/>
      <c r="F28" s="183"/>
      <c r="G28" s="184"/>
      <c r="H28" s="184"/>
      <c r="I28" s="184"/>
      <c r="J28" s="185"/>
      <c r="K28" s="186"/>
      <c r="N28" s="25"/>
      <c r="O28" s="2" t="s">
        <v>61</v>
      </c>
      <c r="P28" s="2">
        <f>IF(AND(O15=0,P15&gt;S11,P15&gt;=S12),P2,0)</f>
        <v>23</v>
      </c>
      <c r="Q28" s="3"/>
    </row>
    <row r="29" spans="1:17" ht="21.75" customHeight="1" thickBot="1">
      <c r="A29" s="149"/>
      <c r="B29" s="144"/>
      <c r="C29" s="144"/>
      <c r="D29" s="144"/>
      <c r="E29" s="147"/>
      <c r="F29" s="187"/>
      <c r="G29" s="188"/>
      <c r="H29" s="188"/>
      <c r="I29" s="188"/>
      <c r="J29" s="189"/>
      <c r="K29" s="190"/>
      <c r="N29" s="25"/>
      <c r="O29" s="2"/>
      <c r="P29" s="2"/>
      <c r="Q29" s="3"/>
    </row>
    <row r="30" spans="1:17" ht="21.75" customHeight="1">
      <c r="A30" s="149"/>
      <c r="B30" s="144"/>
      <c r="C30" s="144"/>
      <c r="D30" s="144"/>
      <c r="E30" s="147"/>
      <c r="F30" s="179" t="s">
        <v>28</v>
      </c>
      <c r="G30" s="180"/>
      <c r="H30" s="180"/>
      <c r="I30" s="180"/>
      <c r="J30" s="181"/>
      <c r="K30" s="182">
        <f>K12+K15+K18+K21+K24+K27</f>
        <v>108.5</v>
      </c>
      <c r="N30" s="25"/>
      <c r="O30" s="2"/>
      <c r="P30" s="2"/>
      <c r="Q30" s="3"/>
    </row>
    <row r="31" spans="1:17" ht="21.75" customHeight="1" thickBot="1">
      <c r="A31" s="145"/>
      <c r="B31" s="144"/>
      <c r="C31" s="144"/>
      <c r="D31" s="144"/>
      <c r="E31" s="144"/>
      <c r="F31" s="187"/>
      <c r="G31" s="188"/>
      <c r="H31" s="188"/>
      <c r="I31" s="188"/>
      <c r="J31" s="189"/>
      <c r="K31" s="190"/>
      <c r="N31" s="25"/>
      <c r="O31" s="2" t="s">
        <v>62</v>
      </c>
      <c r="P31" s="99">
        <f>SUM(P26:P30)</f>
        <v>23</v>
      </c>
      <c r="Q31" s="3"/>
    </row>
    <row r="32" spans="1:17" ht="21.75" customHeight="1">
      <c r="A32" s="149"/>
      <c r="B32" s="144"/>
      <c r="C32" s="144"/>
      <c r="D32" s="144"/>
      <c r="E32" s="144"/>
      <c r="F32" s="192"/>
      <c r="G32" s="193"/>
      <c r="H32" s="193"/>
      <c r="I32" s="193"/>
      <c r="J32" s="193"/>
      <c r="K32" s="194"/>
      <c r="N32" s="25"/>
      <c r="O32" s="2"/>
      <c r="P32" s="2"/>
      <c r="Q32" s="3"/>
    </row>
    <row r="33" spans="1:17" ht="21.75" customHeight="1" thickBot="1">
      <c r="A33" s="150"/>
      <c r="B33" s="144"/>
      <c r="C33" s="144"/>
      <c r="D33" s="151"/>
      <c r="E33" s="152"/>
      <c r="F33" s="195"/>
      <c r="G33" s="196"/>
      <c r="H33" s="196"/>
      <c r="I33" s="196"/>
      <c r="J33" s="196"/>
      <c r="K33" s="197"/>
      <c r="N33" s="29"/>
      <c r="O33" s="4"/>
      <c r="P33" s="4"/>
      <c r="Q33" s="105"/>
    </row>
    <row r="34" spans="1:11" ht="21.75" customHeight="1">
      <c r="A34" s="153" t="s">
        <v>10</v>
      </c>
      <c r="B34" s="144"/>
      <c r="C34" s="144"/>
      <c r="D34" s="152" t="s">
        <v>11</v>
      </c>
      <c r="E34" s="152"/>
      <c r="F34" s="198" t="str">
        <f>'Excelblog.pl - Kwoty słownie'!B38</f>
        <v>siedemdziesiąt złotych 9/100 groszy </v>
      </c>
      <c r="G34" s="199"/>
      <c r="H34" s="199"/>
      <c r="I34" s="199"/>
      <c r="J34" s="199"/>
      <c r="K34" s="200"/>
    </row>
    <row r="35" spans="1:11" ht="21.75" customHeight="1" thickBot="1">
      <c r="A35" s="154"/>
      <c r="B35" s="155"/>
      <c r="C35" s="155"/>
      <c r="D35" s="155"/>
      <c r="E35" s="155"/>
      <c r="F35" s="201" t="s">
        <v>29</v>
      </c>
      <c r="G35" s="202"/>
      <c r="H35" s="202"/>
      <c r="I35" s="202"/>
      <c r="J35" s="202"/>
      <c r="K35" s="203"/>
    </row>
    <row r="36" spans="1:17" ht="21.75" customHeight="1">
      <c r="A36" s="28"/>
      <c r="B36" s="9"/>
      <c r="C36" s="9"/>
      <c r="D36" s="9"/>
      <c r="E36" s="10"/>
      <c r="F36" s="179" t="s">
        <v>51</v>
      </c>
      <c r="G36" s="180"/>
      <c r="H36" s="180"/>
      <c r="I36" s="180"/>
      <c r="J36" s="181"/>
      <c r="K36" s="204">
        <v>2</v>
      </c>
      <c r="N36" s="28"/>
      <c r="O36" s="9"/>
      <c r="P36" s="9"/>
      <c r="Q36" s="10"/>
    </row>
    <row r="37" spans="1:17" ht="21.75" customHeight="1">
      <c r="A37" s="21" t="s">
        <v>30</v>
      </c>
      <c r="B37" s="80"/>
      <c r="C37" s="2"/>
      <c r="D37" s="2"/>
      <c r="E37" s="3"/>
      <c r="F37" s="183"/>
      <c r="G37" s="184"/>
      <c r="H37" s="184"/>
      <c r="I37" s="184"/>
      <c r="J37" s="185"/>
      <c r="K37" s="205"/>
      <c r="N37" s="25"/>
      <c r="O37" s="2" t="s">
        <v>63</v>
      </c>
      <c r="P37" s="2">
        <f>IF(AND(O15&lt;&gt;0,P15&lt;&gt;0,P15&lt;=S12),((O15)*P2)+(P2*0.5),0)</f>
        <v>0</v>
      </c>
      <c r="Q37" s="3"/>
    </row>
    <row r="38" spans="1:17" ht="21.75" customHeight="1">
      <c r="A38" s="25"/>
      <c r="B38" s="2"/>
      <c r="C38" s="2"/>
      <c r="D38" s="2"/>
      <c r="E38" s="3"/>
      <c r="F38" s="183"/>
      <c r="G38" s="184"/>
      <c r="H38" s="184"/>
      <c r="I38" s="184"/>
      <c r="J38" s="185"/>
      <c r="K38" s="205"/>
      <c r="N38" s="25"/>
      <c r="O38" s="2"/>
      <c r="P38" s="2"/>
      <c r="Q38" s="3"/>
    </row>
    <row r="39" spans="1:17" ht="21.75" customHeight="1">
      <c r="A39" s="25"/>
      <c r="B39" s="2"/>
      <c r="C39" s="2"/>
      <c r="D39" s="2"/>
      <c r="E39" s="3"/>
      <c r="F39" s="183"/>
      <c r="G39" s="184"/>
      <c r="H39" s="184"/>
      <c r="I39" s="184"/>
      <c r="J39" s="185"/>
      <c r="K39" s="205"/>
      <c r="N39" s="25"/>
      <c r="O39" s="2" t="s">
        <v>64</v>
      </c>
      <c r="P39" s="2">
        <f>IF(AND(O15&lt;&gt;0,OR(P15=0,P15&gt;S12)),((O15)*P2)+IF(P15&lt;&gt;0,P2,0),0)</f>
        <v>0</v>
      </c>
      <c r="Q39" s="3"/>
    </row>
    <row r="40" spans="1:17" ht="21.75" customHeight="1" thickBot="1">
      <c r="A40" s="21" t="s">
        <v>6</v>
      </c>
      <c r="B40" s="206">
        <f>'Excelblog.pl - Kwoty słownie'!B81</f>
      </c>
      <c r="C40" s="206"/>
      <c r="D40" s="206"/>
      <c r="E40" s="3"/>
      <c r="F40" s="187"/>
      <c r="G40" s="188"/>
      <c r="H40" s="188"/>
      <c r="I40" s="188"/>
      <c r="J40" s="189"/>
      <c r="K40" s="207"/>
      <c r="N40" s="25"/>
      <c r="O40" s="2"/>
      <c r="P40" s="2"/>
      <c r="Q40" s="3"/>
    </row>
    <row r="41" spans="1:17" ht="21.75" customHeight="1">
      <c r="A41" s="25"/>
      <c r="B41" s="2"/>
      <c r="C41" s="2"/>
      <c r="D41" s="2"/>
      <c r="E41" s="3"/>
      <c r="F41" s="208" t="s">
        <v>49</v>
      </c>
      <c r="G41" s="209"/>
      <c r="H41" s="209"/>
      <c r="I41" s="209"/>
      <c r="J41" s="210"/>
      <c r="K41" s="161"/>
      <c r="N41" s="25"/>
      <c r="O41" s="2" t="s">
        <v>65</v>
      </c>
      <c r="P41" s="106">
        <f>SUM(P37:P39)</f>
        <v>0</v>
      </c>
      <c r="Q41" s="3"/>
    </row>
    <row r="42" spans="1:20" ht="21.75" customHeight="1" thickBot="1">
      <c r="A42" s="25"/>
      <c r="B42" s="2"/>
      <c r="C42" s="2"/>
      <c r="D42" s="2"/>
      <c r="E42" s="3"/>
      <c r="F42" s="211"/>
      <c r="G42" s="212"/>
      <c r="H42" s="212"/>
      <c r="I42" s="212"/>
      <c r="J42" s="213"/>
      <c r="K42" s="162"/>
      <c r="N42" s="29"/>
      <c r="O42" s="4"/>
      <c r="P42" s="4"/>
      <c r="Q42" s="105"/>
      <c r="S42" s="107" t="s">
        <v>66</v>
      </c>
      <c r="T42">
        <f>IF(O15&gt;0,P41,P31)</f>
        <v>23</v>
      </c>
    </row>
    <row r="43" spans="1:11" ht="21.75" customHeight="1" thickBot="1">
      <c r="A43" s="25"/>
      <c r="B43" s="2"/>
      <c r="C43" s="2"/>
      <c r="D43" s="2"/>
      <c r="E43" s="3"/>
      <c r="F43" s="214"/>
      <c r="G43" s="215"/>
      <c r="H43" s="215"/>
      <c r="I43" s="215"/>
      <c r="J43" s="216"/>
      <c r="K43" s="163"/>
    </row>
    <row r="44" spans="1:11" ht="21.75" customHeight="1">
      <c r="A44" s="78"/>
      <c r="B44" s="2"/>
      <c r="C44" s="2"/>
      <c r="D44" s="77"/>
      <c r="E44" s="7"/>
      <c r="F44" s="208" t="s">
        <v>50</v>
      </c>
      <c r="G44" s="209"/>
      <c r="H44" s="209"/>
      <c r="I44" s="209"/>
      <c r="J44" s="210"/>
      <c r="K44" s="161"/>
    </row>
    <row r="45" spans="1:11" ht="21.75" customHeight="1">
      <c r="A45" s="31" t="s">
        <v>10</v>
      </c>
      <c r="B45" s="2"/>
      <c r="C45" s="2"/>
      <c r="D45" s="6" t="s">
        <v>11</v>
      </c>
      <c r="E45" s="7"/>
      <c r="F45" s="211"/>
      <c r="G45" s="212"/>
      <c r="H45" s="212"/>
      <c r="I45" s="212"/>
      <c r="J45" s="213"/>
      <c r="K45" s="162"/>
    </row>
    <row r="46" spans="1:11" ht="21.75" customHeight="1" thickBot="1">
      <c r="A46" s="26"/>
      <c r="B46" s="4"/>
      <c r="C46" s="4"/>
      <c r="D46" s="30"/>
      <c r="E46" s="27"/>
      <c r="F46" s="214"/>
      <c r="G46" s="215"/>
      <c r="H46" s="215"/>
      <c r="I46" s="215"/>
      <c r="J46" s="216"/>
      <c r="K46" s="163"/>
    </row>
    <row r="47" ht="24.75" customHeight="1"/>
    <row r="48" ht="24.75" customHeight="1" hidden="1"/>
    <row r="49" ht="24.75" customHeight="1" hidden="1"/>
    <row r="50" ht="24.75" customHeight="1" hidden="1"/>
    <row r="51" spans="15:20" ht="24.75" customHeight="1" hidden="1">
      <c r="O51" s="15" t="s">
        <v>56</v>
      </c>
      <c r="T51" s="95">
        <f>'delegacja zagraniczna - verum'!X5</f>
        <v>1</v>
      </c>
    </row>
    <row r="52" spans="15:20" ht="24.75" customHeight="1" hidden="1">
      <c r="O52" s="15"/>
      <c r="T52" s="95"/>
    </row>
    <row r="53" spans="15:20" ht="24.75" customHeight="1" hidden="1">
      <c r="O53" s="15" t="s">
        <v>54</v>
      </c>
      <c r="T53" s="95">
        <f>'delegacja zagraniczna - verum'!X7</f>
        <v>0</v>
      </c>
    </row>
    <row r="54" spans="1:20" ht="21.75" customHeight="1" hidden="1">
      <c r="A54" s="116" t="s">
        <v>31</v>
      </c>
      <c r="B54" s="79"/>
      <c r="C54" s="15" t="s">
        <v>32</v>
      </c>
      <c r="D54" s="199">
        <f>'Excelblog.pl - Kwoty słownie'!B53</f>
      </c>
      <c r="E54" s="199"/>
      <c r="F54" s="199"/>
      <c r="G54" s="199"/>
      <c r="H54" s="199"/>
      <c r="I54" s="199"/>
      <c r="J54" s="199"/>
      <c r="K54" s="199"/>
      <c r="O54" s="15"/>
      <c r="T54" s="95"/>
    </row>
    <row r="55" spans="1:20" ht="21.75" customHeight="1" hidden="1">
      <c r="A55" s="15"/>
      <c r="B55" s="11"/>
      <c r="C55" s="15"/>
      <c r="D55" s="11"/>
      <c r="E55" s="11"/>
      <c r="F55" s="2"/>
      <c r="G55" s="2"/>
      <c r="H55" s="2"/>
      <c r="I55" s="2"/>
      <c r="J55" s="2"/>
      <c r="K55" s="2"/>
      <c r="O55" s="15" t="s">
        <v>55</v>
      </c>
      <c r="T55" s="95">
        <f>'delegacja zagraniczna - verum'!X9</f>
        <v>0</v>
      </c>
    </row>
    <row r="56" spans="1:5" ht="21.75" customHeight="1" hidden="1">
      <c r="A56" s="15"/>
      <c r="B56" s="15"/>
      <c r="C56" s="15"/>
      <c r="D56" s="15"/>
      <c r="E56" s="15"/>
    </row>
    <row r="57" spans="1:11" ht="21.75" customHeight="1" hidden="1">
      <c r="A57" s="217" t="s">
        <v>75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</row>
    <row r="58" spans="1:11" ht="21.75" customHeight="1" hidden="1">
      <c r="A58" s="217" t="s">
        <v>76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</row>
    <row r="59" ht="21.75" customHeight="1" hidden="1"/>
    <row r="60" ht="21.75" customHeight="1" hidden="1"/>
    <row r="61" ht="21.75" customHeight="1" hidden="1"/>
    <row r="62" ht="21.75" customHeight="1" hidden="1"/>
    <row r="63" ht="21.75" customHeight="1" hidden="1"/>
    <row r="64" ht="21.75" customHeight="1" hidden="1"/>
    <row r="65" spans="1:11" ht="21.75" customHeight="1" hidden="1">
      <c r="A65" s="8"/>
      <c r="F65" s="206"/>
      <c r="G65" s="206"/>
      <c r="H65" s="5"/>
      <c r="I65" s="5"/>
      <c r="J65" s="5"/>
      <c r="K65" s="77"/>
    </row>
    <row r="66" spans="1:11" ht="21.75" customHeight="1" hidden="1">
      <c r="A66" s="5" t="s">
        <v>33</v>
      </c>
      <c r="F66" s="218" t="s">
        <v>10</v>
      </c>
      <c r="G66" s="218"/>
      <c r="H66" s="5"/>
      <c r="I66" s="5"/>
      <c r="J66" s="5"/>
      <c r="K66" s="5" t="s">
        <v>34</v>
      </c>
    </row>
    <row r="67" ht="21.75" customHeight="1" hidden="1"/>
  </sheetData>
  <sheetProtection/>
  <conditionalFormatting sqref="H4:H11 J4:K11">
    <cfRule type="expression" priority="1" dxfId="0" stopIfTrue="1">
      <formula>$M4=0</formula>
    </cfRule>
  </conditionalFormatting>
  <printOptions/>
  <pageMargins left="0.75" right="0.75" top="1" bottom="1" header="0.5" footer="0.5"/>
  <pageSetup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defaultGridColor="0" zoomScalePageLayoutView="0" colorId="31" workbookViewId="0" topLeftCell="A20">
      <selection activeCell="B47" sqref="B47"/>
    </sheetView>
  </sheetViews>
  <sheetFormatPr defaultColWidth="0" defaultRowHeight="12.75"/>
  <cols>
    <col min="1" max="1" width="14.421875" style="59" customWidth="1"/>
    <col min="2" max="3" width="17.8515625" style="59" customWidth="1"/>
    <col min="4" max="4" width="16.7109375" style="59" customWidth="1"/>
    <col min="5" max="8" width="12.140625" style="59" customWidth="1"/>
    <col min="9" max="9" width="9.140625" style="59" customWidth="1"/>
    <col min="10" max="10" width="0" style="59" hidden="1" customWidth="1"/>
    <col min="11" max="11" width="18.28125" style="59" hidden="1" customWidth="1"/>
    <col min="12" max="12" width="15.28125" style="59" hidden="1" customWidth="1"/>
    <col min="13" max="13" width="11.421875" style="59" hidden="1" customWidth="1"/>
    <col min="14" max="16384" width="0" style="59" hidden="1" customWidth="1"/>
  </cols>
  <sheetData>
    <row r="1" spans="1:9" s="36" customFormat="1" ht="17.25" customHeight="1">
      <c r="A1" s="34" t="s">
        <v>35</v>
      </c>
      <c r="B1" s="35"/>
      <c r="C1" s="35"/>
      <c r="D1" s="35"/>
      <c r="E1" s="35"/>
      <c r="F1" s="35"/>
      <c r="G1" s="35"/>
      <c r="H1" s="35"/>
      <c r="I1" s="35"/>
    </row>
    <row r="2" spans="1:13" s="40" customFormat="1" ht="12.75">
      <c r="A2" s="37"/>
      <c r="B2" s="38" t="s">
        <v>36</v>
      </c>
      <c r="C2" s="37"/>
      <c r="D2" s="39"/>
      <c r="E2" s="39"/>
      <c r="F2" s="39"/>
      <c r="G2" s="39"/>
      <c r="H2" s="39"/>
      <c r="I2" s="37"/>
      <c r="K2" s="41"/>
      <c r="L2" s="41"/>
      <c r="M2" s="41"/>
    </row>
    <row r="3" spans="1:9" s="40" customFormat="1" ht="12.75">
      <c r="A3" s="38" t="s">
        <v>36</v>
      </c>
      <c r="B3" s="42">
        <f>'delegacja zagraniczna - verum'!F40</f>
        <v>0</v>
      </c>
      <c r="C3" s="43"/>
      <c r="D3" s="39"/>
      <c r="E3" s="39"/>
      <c r="F3" s="39"/>
      <c r="G3" s="39"/>
      <c r="H3" s="39"/>
      <c r="I3" s="37"/>
    </row>
    <row r="4" spans="1:9" s="40" customFormat="1" ht="12.75">
      <c r="A4" s="38"/>
      <c r="B4" s="43"/>
      <c r="C4" s="44" t="s">
        <v>37</v>
      </c>
      <c r="D4" s="45" t="s">
        <v>38</v>
      </c>
      <c r="E4" s="45" t="s">
        <v>39</v>
      </c>
      <c r="F4" s="45" t="s">
        <v>40</v>
      </c>
      <c r="G4" s="45" t="s">
        <v>41</v>
      </c>
      <c r="H4" s="45" t="s">
        <v>42</v>
      </c>
      <c r="I4" s="37"/>
    </row>
    <row r="5" spans="1:9" s="40" customFormat="1" ht="12.75">
      <c r="A5" s="38" t="s">
        <v>43</v>
      </c>
      <c r="B5" s="37"/>
      <c r="C5" s="46"/>
      <c r="D5" s="47">
        <f>ROUND((B3-INT(B3))*100,0)</f>
        <v>0</v>
      </c>
      <c r="E5" s="47">
        <f>IF(B3&gt;=1,VALUE(RIGHT(LEFT(INT(B3),LEN(INT(B3))),3)),0)</f>
        <v>0</v>
      </c>
      <c r="F5" s="47">
        <f>IF(B3&gt;=1000,VALUE(TEXT(RIGHT(LEFT(INT(B3),LEN(INT(B3))-3),3),"000")),0)</f>
        <v>0</v>
      </c>
      <c r="G5" s="47">
        <f>IF(B3&gt;=1000000,VALUE(TEXT(RIGHT(LEFT(INT(B3),LEN(INT(B3))-6),3),"000")),0)</f>
        <v>0</v>
      </c>
      <c r="H5" s="47">
        <f>IF(B3&gt;=1000000000,VALUE(TEXT(RIGHT(LEFT(INT(B3),LEN(INT(B3))-9),3),"000")),0)</f>
        <v>0</v>
      </c>
      <c r="I5" s="37"/>
    </row>
    <row r="6" spans="1:9" s="40" customFormat="1" ht="12.75">
      <c r="A6" s="38" t="s">
        <v>44</v>
      </c>
      <c r="B6" s="48"/>
      <c r="C6" s="48" t="str">
        <f>ROUND((B3-INT(B3))*100,0)&amp;"/"&amp;100&amp;" groszy"</f>
        <v>0/100 groszy</v>
      </c>
      <c r="D6" s="48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49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49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49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48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48"/>
    </row>
    <row r="7" spans="1:9" s="40" customFormat="1" ht="12.75">
      <c r="A7" s="37"/>
      <c r="B7" s="37"/>
      <c r="C7" s="37"/>
      <c r="D7" s="39"/>
      <c r="E7" s="39"/>
      <c r="F7" s="39"/>
      <c r="G7" s="39"/>
      <c r="H7" s="39"/>
      <c r="I7" s="37"/>
    </row>
    <row r="8" spans="1:9" s="40" customFormat="1" ht="12.75">
      <c r="A8" s="38" t="s">
        <v>45</v>
      </c>
      <c r="B8" s="50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51"/>
      <c r="D8" s="51"/>
      <c r="E8" s="51"/>
      <c r="F8" s="51"/>
      <c r="G8" s="51"/>
      <c r="H8" s="51"/>
      <c r="I8" s="52"/>
    </row>
    <row r="9" spans="1:9" s="40" customFormat="1" ht="12.75">
      <c r="A9" s="38" t="s">
        <v>46</v>
      </c>
      <c r="B9" s="50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51"/>
      <c r="D9" s="51"/>
      <c r="E9" s="51"/>
      <c r="F9" s="51"/>
      <c r="G9" s="51"/>
      <c r="H9" s="51"/>
      <c r="I9" s="52"/>
    </row>
    <row r="10" spans="1:9" s="40" customFormat="1" ht="12.75">
      <c r="A10" s="38" t="s">
        <v>47</v>
      </c>
      <c r="B10" s="50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51"/>
      <c r="D10" s="51"/>
      <c r="E10" s="51"/>
      <c r="F10" s="51"/>
      <c r="G10" s="51"/>
      <c r="H10" s="51"/>
      <c r="I10" s="52"/>
    </row>
    <row r="11" spans="1:9" s="40" customFormat="1" ht="12.75">
      <c r="A11" s="38"/>
      <c r="B11" s="37"/>
      <c r="C11" s="37"/>
      <c r="D11" s="39"/>
      <c r="E11" s="39"/>
      <c r="F11" s="39"/>
      <c r="G11" s="39"/>
      <c r="H11" s="39"/>
      <c r="I11" s="37"/>
    </row>
    <row r="12" spans="1:9" s="56" customFormat="1" ht="12.75" customHeight="1">
      <c r="A12" s="53"/>
      <c r="B12" s="53"/>
      <c r="C12" s="53"/>
      <c r="D12" s="54"/>
      <c r="E12" s="54"/>
      <c r="F12" s="54"/>
      <c r="G12" s="54"/>
      <c r="H12" s="54"/>
      <c r="I12" s="55" t="s">
        <v>48</v>
      </c>
    </row>
    <row r="15" spans="1:9" ht="12.75">
      <c r="A15" s="57"/>
      <c r="B15" s="58"/>
      <c r="C15" s="58"/>
      <c r="D15" s="58"/>
      <c r="E15" s="58"/>
      <c r="F15" s="58"/>
      <c r="G15" s="58"/>
      <c r="H15" s="58"/>
      <c r="I15" s="58"/>
    </row>
    <row r="16" spans="1:13" ht="12.75">
      <c r="A16" s="60"/>
      <c r="B16" s="61" t="s">
        <v>36</v>
      </c>
      <c r="C16" s="60"/>
      <c r="D16" s="62"/>
      <c r="E16" s="62"/>
      <c r="F16" s="62"/>
      <c r="G16" s="62"/>
      <c r="H16" s="62"/>
      <c r="I16" s="60"/>
      <c r="K16" s="63"/>
      <c r="L16" s="63"/>
      <c r="M16" s="63"/>
    </row>
    <row r="17" spans="1:9" ht="12.75">
      <c r="A17" s="61" t="s">
        <v>36</v>
      </c>
      <c r="B17" s="42">
        <f>'delegacja zagraniczna - verum'!E55</f>
        <v>0</v>
      </c>
      <c r="C17" s="64"/>
      <c r="D17" s="62"/>
      <c r="E17" s="62"/>
      <c r="F17" s="62"/>
      <c r="G17" s="62"/>
      <c r="H17" s="62"/>
      <c r="I17" s="60"/>
    </row>
    <row r="18" spans="1:9" ht="12.75">
      <c r="A18" s="61"/>
      <c r="B18" s="64"/>
      <c r="C18" s="65" t="s">
        <v>37</v>
      </c>
      <c r="D18" s="66" t="s">
        <v>38</v>
      </c>
      <c r="E18" s="66" t="s">
        <v>39</v>
      </c>
      <c r="F18" s="66" t="s">
        <v>40</v>
      </c>
      <c r="G18" s="66" t="s">
        <v>41</v>
      </c>
      <c r="H18" s="66" t="s">
        <v>42</v>
      </c>
      <c r="I18" s="60"/>
    </row>
    <row r="19" spans="1:9" ht="12.75">
      <c r="A19" s="61" t="s">
        <v>43</v>
      </c>
      <c r="B19" s="60"/>
      <c r="C19" s="67"/>
      <c r="D19" s="68">
        <f>ROUND((B17-INT(B17))*100,0)</f>
        <v>0</v>
      </c>
      <c r="E19" s="68">
        <f>IF(B17&gt;=1,VALUE(RIGHT(LEFT(INT(B17),LEN(INT(B17))),3)),0)</f>
        <v>0</v>
      </c>
      <c r="F19" s="68">
        <f>IF(B17&gt;=1000,VALUE(TEXT(RIGHT(LEFT(INT(B17),LEN(INT(B17))-3),3),"000")),0)</f>
        <v>0</v>
      </c>
      <c r="G19" s="68">
        <f>IF(B17&gt;=1000000,VALUE(TEXT(RIGHT(LEFT(INT(B17),LEN(INT(B17))-6),3),"000")),0)</f>
        <v>0</v>
      </c>
      <c r="H19" s="68">
        <f>IF(B17&gt;=1000000000,VALUE(TEXT(RIGHT(LEFT(INT(B17),LEN(INT(B17))-9),3),"000")),0)</f>
        <v>0</v>
      </c>
      <c r="I19" s="60"/>
    </row>
    <row r="20" spans="1:9" ht="12.75">
      <c r="A20" s="61" t="s">
        <v>44</v>
      </c>
      <c r="B20" s="69"/>
      <c r="C20" s="69" t="str">
        <f>ROUND((B17-INT(B17))*100,0)&amp;"/"&amp;100&amp;" groszy"</f>
        <v>0/100 groszy</v>
      </c>
      <c r="D20" s="69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70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70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70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69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69"/>
    </row>
    <row r="21" spans="1:9" ht="12.75">
      <c r="A21" s="60"/>
      <c r="B21" s="60"/>
      <c r="C21" s="60"/>
      <c r="D21" s="62"/>
      <c r="E21" s="62"/>
      <c r="F21" s="62"/>
      <c r="G21" s="62"/>
      <c r="H21" s="62"/>
      <c r="I21" s="60"/>
    </row>
    <row r="22" spans="1:9" ht="12.75">
      <c r="A22" s="61" t="s">
        <v>45</v>
      </c>
      <c r="B22" s="50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</c>
      <c r="C22" s="51"/>
      <c r="D22" s="51"/>
      <c r="E22" s="51"/>
      <c r="F22" s="51"/>
      <c r="G22" s="51"/>
      <c r="H22" s="51"/>
      <c r="I22" s="52"/>
    </row>
    <row r="23" spans="1:9" ht="12.75">
      <c r="A23" s="61" t="s">
        <v>46</v>
      </c>
      <c r="B23" s="50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</c>
      <c r="C23" s="51"/>
      <c r="D23" s="51"/>
      <c r="E23" s="51"/>
      <c r="F23" s="51"/>
      <c r="G23" s="51"/>
      <c r="H23" s="51"/>
      <c r="I23" s="52"/>
    </row>
    <row r="24" spans="1:9" ht="12.75">
      <c r="A24" s="61" t="s">
        <v>47</v>
      </c>
      <c r="B24" s="50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</c>
      <c r="C24" s="51"/>
      <c r="D24" s="51"/>
      <c r="E24" s="51"/>
      <c r="F24" s="51"/>
      <c r="G24" s="51"/>
      <c r="H24" s="51"/>
      <c r="I24" s="52"/>
    </row>
    <row r="25" spans="1:9" ht="12.75">
      <c r="A25" s="61"/>
      <c r="B25" s="60"/>
      <c r="C25" s="60"/>
      <c r="D25" s="62"/>
      <c r="E25" s="62"/>
      <c r="F25" s="62"/>
      <c r="G25" s="62"/>
      <c r="H25" s="62"/>
      <c r="I25" s="60"/>
    </row>
    <row r="26" spans="1:9" s="74" customFormat="1" ht="12.75" customHeight="1">
      <c r="A26" s="71"/>
      <c r="B26" s="71"/>
      <c r="C26" s="71"/>
      <c r="D26" s="72"/>
      <c r="E26" s="72"/>
      <c r="F26" s="72"/>
      <c r="G26" s="72"/>
      <c r="H26" s="72"/>
      <c r="I26" s="73" t="s">
        <v>48</v>
      </c>
    </row>
    <row r="29" spans="1:9" ht="12.75">
      <c r="A29" s="57"/>
      <c r="B29" s="58"/>
      <c r="C29" s="58"/>
      <c r="D29" s="58"/>
      <c r="E29" s="58"/>
      <c r="F29" s="58"/>
      <c r="G29" s="58"/>
      <c r="H29" s="58"/>
      <c r="I29" s="58"/>
    </row>
    <row r="30" spans="1:13" ht="12.75">
      <c r="A30" s="60"/>
      <c r="B30" s="61" t="s">
        <v>36</v>
      </c>
      <c r="C30" s="60"/>
      <c r="D30" s="62"/>
      <c r="E30" s="62"/>
      <c r="F30" s="62"/>
      <c r="G30" s="62"/>
      <c r="H30" s="62"/>
      <c r="I30" s="60"/>
      <c r="K30" s="63"/>
      <c r="L30" s="63"/>
      <c r="M30" s="63"/>
    </row>
    <row r="31" spans="1:9" ht="12.75">
      <c r="A31" s="61" t="s">
        <v>36</v>
      </c>
      <c r="B31" s="42">
        <f>'delegacja zagraniczna - verum'!L106</f>
        <v>70.09</v>
      </c>
      <c r="C31" s="64"/>
      <c r="D31" s="62"/>
      <c r="E31" s="62"/>
      <c r="F31" s="62"/>
      <c r="G31" s="62"/>
      <c r="H31" s="62"/>
      <c r="I31" s="60"/>
    </row>
    <row r="32" spans="1:9" ht="12.75">
      <c r="A32" s="61"/>
      <c r="B32" s="64"/>
      <c r="C32" s="65" t="s">
        <v>37</v>
      </c>
      <c r="D32" s="66" t="s">
        <v>38</v>
      </c>
      <c r="E32" s="66" t="s">
        <v>39</v>
      </c>
      <c r="F32" s="66" t="s">
        <v>40</v>
      </c>
      <c r="G32" s="66" t="s">
        <v>41</v>
      </c>
      <c r="H32" s="66" t="s">
        <v>42</v>
      </c>
      <c r="I32" s="60"/>
    </row>
    <row r="33" spans="1:9" ht="12.75">
      <c r="A33" s="61" t="s">
        <v>43</v>
      </c>
      <c r="B33" s="60"/>
      <c r="C33" s="67"/>
      <c r="D33" s="68">
        <f>ROUND((B31-INT(B31))*100,0)</f>
        <v>9</v>
      </c>
      <c r="E33" s="68">
        <f>IF(B31&gt;=1,VALUE(RIGHT(LEFT(INT(B31),LEN(INT(B31))),3)),0)</f>
        <v>70</v>
      </c>
      <c r="F33" s="68">
        <f>IF(B31&gt;=1000,VALUE(TEXT(RIGHT(LEFT(INT(B31),LEN(INT(B31))-3),3),"000")),0)</f>
        <v>0</v>
      </c>
      <c r="G33" s="68">
        <f>IF(B31&gt;=1000000,VALUE(TEXT(RIGHT(LEFT(INT(B31),LEN(INT(B31))-6),3),"000")),0)</f>
        <v>0</v>
      </c>
      <c r="H33" s="68">
        <f>IF(B31&gt;=1000000000,VALUE(TEXT(RIGHT(LEFT(INT(B31),LEN(INT(B31))-9),3),"000")),0)</f>
        <v>0</v>
      </c>
      <c r="I33" s="60"/>
    </row>
    <row r="34" spans="1:9" ht="12.75">
      <c r="A34" s="61" t="s">
        <v>44</v>
      </c>
      <c r="B34" s="69"/>
      <c r="C34" s="69" t="str">
        <f>ROUND((B31-INT(B31))*100,0)&amp;"/"&amp;100&amp;" groszy"</f>
        <v>9/100 groszy</v>
      </c>
      <c r="D34" s="69" t="str">
        <f>IF(B31=0,"",IF(D33&lt;=20,IF(D33=0,"zero",INDEX(excelblog_Jednosci,D33)),INDEX(excelblog_Dziesiatki,INT(D33/10))&amp;IF(MOD(D33,10)," "&amp;INDEX(excelblog_Jednosci,MOD(D33,10)),"")))&amp;" "&amp;IF(B31=0,"",INDEX(IF(D33&lt;20,{"groszy";"grosz";"grosze";"groszy"},{"groszy";"grosze";"groszy"}),MATCH(IF(D33&lt;20,D33,MOD(D33,10)),IF(D33&lt;20,{0;1;2;5},{0;2;5}),1)))</f>
        <v>dziewięć groszy</v>
      </c>
      <c r="E34" s="70" t="str">
        <f>IF(OR(B31&lt;1,INT(E33/100)=0),"",INDEX(excelblog_Setki,INT(E33/100)))&amp;IF(E33-(INT(E33/100)*100)&lt;=20,IF(E33-(INT(E33/100)*100)=0,IF(OR(E33&gt;0,B31&lt;1),"","złotych")," "&amp;INDEX(excelblog_Jednosci,E33-(INT(E33/100)*100)))," "&amp;INDEX(excelblog_Dziesiatki,INT((E33-(INT(E33/100)*100))/10))&amp;IF(MOD((E33-(INT(E33/100)*100)),10)," "&amp;INDEX(excelblog_Jednosci,MOD((E33-(INT(E33/100)*100)),10)),""))&amp;IF(E33=0,""," "&amp;INDEX(IF(E33&lt;20,{"złotych";"złoty";"złote";"złotych"},{"złotych";"złote";"złotych"}),MATCH(IF(E33-(INT(E33/100)*100)&lt;20,E33-(INT(E33/100)*100),MOD((E33-(INT(E33/100)*100)),10)),IF(E33&lt;20,{0;1;2;5},{0;2;5}),1)))</f>
        <v> siedemdziesiąt złotych</v>
      </c>
      <c r="F34" s="70">
        <f>IF(OR(B31&lt;1,INT(F33/100)=0),"",INDEX(excelblog_Setki,INT(F33/100)))&amp;IF(F33-(INT(F33/100)*100)&lt;=20,IF(F33-(INT(F33/100)*100)=0,""," "&amp;INDEX(excelblog_Jednosci,F33-(INT(F33/100)*100)))," "&amp;INDEX(excelblog_Dziesiatki,INT((F33-(INT(F33/100)*100))/10))&amp;IF(MOD((F33-(INT(F33/100)*100)),10)," "&amp;INDEX(excelblog_Jednosci,MOD((F33-(INT(F33/100)*100)),10)),""))&amp;IF(F33=0,""," "&amp;INDEX(IF(F33&lt;20,{"";"tysiąc";"tysiące";"tysięcy"},{"tysięcy";"tysiące";"tysięcy"}),MATCH(IF(F33-(INT(F33/100)*100)&lt;20,F33-(INT(F33/100)*100),MOD((F33-(INT(F33/100)*100)),10)),IF(F33&lt;20,{0;1;2;5},{0;2;5}),1)))</f>
      </c>
      <c r="G34" s="70">
        <f>IF(OR(B31&lt;1,INT(G33/100)=0),"",INDEX(excelblog_Setki,INT(G33/100)))&amp;IF(G33-(INT(G33/100)*100)&lt;=20,IF(G33-(INT(G33/100)*100)=0,""," "&amp;INDEX(excelblog_Jednosci,G33-(INT(G33/100)*100)))," "&amp;INDEX(excelblog_Dziesiatki,INT((G33-(INT(G33/100)*100))/10))&amp;IF(MOD((G33-(INT(G33/100)*100)),10)," "&amp;INDEX(excelblog_Jednosci,MOD((G33-(INT(G33/100)*100)),10)),""))&amp;IF(G33=0,""," "&amp;INDEX(IF(G33&lt;20,{"";"milion";"miliony";"milion?w"},{"milion?w";"miliony";"milion?w"}),MATCH(IF(G33-(INT(G33/100)*100)&lt;20,G33-(INT(G33/100)*100),MOD((G33-(INT(G33/100)*100)),10)),IF(G33&lt;20,{0;1;2;5},{0;2;5}),1)))</f>
      </c>
      <c r="H34" s="69">
        <f>IF(OR(B31&lt;1,INT(H33/100)=0),"",INDEX(excelblog_Setki,INT(H33/100)))&amp;IF(H33-(INT(H33/100)*100)&lt;=20,IF(H33-(INT(H33/100)*100)=0,""," "&amp;INDEX(excelblog_Jednosci,H33-(INT(H33/100)*100)))," "&amp;INDEX(excelblog_Dziesiatki,INT((H33-(INT(H33/100)*100))/10))&amp;IF(MOD((H33-(INT(H33/100)*100)),10)," "&amp;INDEX(excelblog_Jednosci,MOD((H33-(INT(H33/100)*100)),10)),""))&amp;IF(H33=0,""," "&amp;INDEX(IF(H33&lt;20,{"";"miliard";"miliardy";"miliard?w"},{"miliard?w";"miliardy";"miliard?w"}),MATCH(IF(H33-(INT(H33/100)*100)&lt;20,H33-(INT(H33/100)*100),MOD((H33-(INT(H33/100)*100)),10)),IF(H33&lt;20,{0;1;2;5},{0;2;5}),1)))</f>
      </c>
      <c r="I34" s="69"/>
    </row>
    <row r="35" spans="1:9" ht="12.75">
      <c r="A35" s="60"/>
      <c r="B35" s="60"/>
      <c r="C35" s="60"/>
      <c r="D35" s="62"/>
      <c r="E35" s="62"/>
      <c r="F35" s="62"/>
      <c r="G35" s="62"/>
      <c r="H35" s="62"/>
      <c r="I35" s="60"/>
    </row>
    <row r="36" spans="1:9" ht="12.75">
      <c r="A36" s="61" t="s">
        <v>45</v>
      </c>
      <c r="B36" s="50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","")&amp;IF(TRIM(D34)&lt;&gt;"",D34&amp;" ","")))</f>
        <v>siedemdziesiąt złotych dziewięć groszy </v>
      </c>
      <c r="C36" s="51"/>
      <c r="D36" s="51"/>
      <c r="E36" s="51"/>
      <c r="F36" s="51"/>
      <c r="G36" s="51"/>
      <c r="H36" s="51"/>
      <c r="I36" s="52"/>
    </row>
    <row r="37" spans="1:9" ht="12.75">
      <c r="A37" s="61" t="s">
        <v>46</v>
      </c>
      <c r="B37" s="50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","")&amp;IF(TRIM(E34)&lt;&gt;"",TRIM(E34)&amp;", ","")&amp;IF(TRIM(D34)&lt;&gt;"",D34&amp;" ","")))</f>
        <v>siedemdziesiąt złotych, dziewięć groszy </v>
      </c>
      <c r="C37" s="51"/>
      <c r="D37" s="51"/>
      <c r="E37" s="51"/>
      <c r="F37" s="51"/>
      <c r="G37" s="51"/>
      <c r="H37" s="51"/>
      <c r="I37" s="52"/>
    </row>
    <row r="38" spans="1:9" ht="12.75">
      <c r="A38" s="61" t="s">
        <v>47</v>
      </c>
      <c r="B38" s="50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","")&amp;IF(TRIM(D34)&lt;&gt;"",C34&amp;" ","")))</f>
        <v>siedemdziesiąt złotych 9/100 groszy </v>
      </c>
      <c r="C38" s="51"/>
      <c r="D38" s="51"/>
      <c r="E38" s="51"/>
      <c r="F38" s="51"/>
      <c r="G38" s="51"/>
      <c r="H38" s="51"/>
      <c r="I38" s="52"/>
    </row>
    <row r="39" spans="1:9" ht="12.75">
      <c r="A39" s="61"/>
      <c r="B39" s="60"/>
      <c r="C39" s="60"/>
      <c r="D39" s="62"/>
      <c r="E39" s="62"/>
      <c r="F39" s="62"/>
      <c r="G39" s="62"/>
      <c r="H39" s="62"/>
      <c r="I39" s="60"/>
    </row>
    <row r="40" spans="1:9" s="74" customFormat="1" ht="12.75" customHeight="1">
      <c r="A40" s="71"/>
      <c r="B40" s="71"/>
      <c r="C40" s="71"/>
      <c r="D40" s="72"/>
      <c r="E40" s="72"/>
      <c r="F40" s="72"/>
      <c r="G40" s="72"/>
      <c r="H40" s="72"/>
      <c r="I40" s="73" t="s">
        <v>48</v>
      </c>
    </row>
    <row r="44" spans="1:9" ht="12.75">
      <c r="A44" s="57"/>
      <c r="B44" s="58"/>
      <c r="C44" s="58"/>
      <c r="D44" s="58"/>
      <c r="E44" s="58"/>
      <c r="F44" s="58"/>
      <c r="G44" s="58"/>
      <c r="H44" s="58"/>
      <c r="I44" s="58"/>
    </row>
    <row r="45" spans="1:9" ht="12.75">
      <c r="A45" s="60"/>
      <c r="B45" s="61" t="s">
        <v>36</v>
      </c>
      <c r="C45" s="60"/>
      <c r="D45" s="62"/>
      <c r="E45" s="62"/>
      <c r="F45" s="62"/>
      <c r="G45" s="62"/>
      <c r="H45" s="62"/>
      <c r="I45" s="60"/>
    </row>
    <row r="46" spans="1:9" ht="12.75">
      <c r="A46" s="61" t="s">
        <v>36</v>
      </c>
      <c r="B46" s="42">
        <f>'delegacja zagraniczna - verum'!E93</f>
        <v>0</v>
      </c>
      <c r="C46" s="64"/>
      <c r="D46" s="62"/>
      <c r="E46" s="62"/>
      <c r="F46" s="62"/>
      <c r="G46" s="62"/>
      <c r="H46" s="62"/>
      <c r="I46" s="60"/>
    </row>
    <row r="47" spans="1:9" ht="12.75">
      <c r="A47" s="61"/>
      <c r="B47" s="64"/>
      <c r="C47" s="65" t="s">
        <v>37</v>
      </c>
      <c r="D47" s="66" t="s">
        <v>38</v>
      </c>
      <c r="E47" s="66" t="s">
        <v>39</v>
      </c>
      <c r="F47" s="66" t="s">
        <v>40</v>
      </c>
      <c r="G47" s="66" t="s">
        <v>41</v>
      </c>
      <c r="H47" s="66" t="s">
        <v>42</v>
      </c>
      <c r="I47" s="60"/>
    </row>
    <row r="48" spans="1:9" ht="12.75">
      <c r="A48" s="61" t="s">
        <v>43</v>
      </c>
      <c r="B48" s="60"/>
      <c r="C48" s="67"/>
      <c r="D48" s="68">
        <f>ROUND((B46-INT(B46))*100,0)</f>
        <v>0</v>
      </c>
      <c r="E48" s="68">
        <f>IF(B46&gt;=1,VALUE(RIGHT(LEFT(INT(B46),LEN(INT(B46))),3)),0)</f>
        <v>0</v>
      </c>
      <c r="F48" s="68">
        <f>IF(B46&gt;=1000,VALUE(TEXT(RIGHT(LEFT(INT(B46),LEN(INT(B46))-3),3),"000")),0)</f>
        <v>0</v>
      </c>
      <c r="G48" s="68">
        <f>IF(B46&gt;=1000000,VALUE(TEXT(RIGHT(LEFT(INT(B46),LEN(INT(B46))-6),3),"000")),0)</f>
        <v>0</v>
      </c>
      <c r="H48" s="68">
        <f>IF(B46&gt;=1000000000,VALUE(TEXT(RIGHT(LEFT(INT(B46),LEN(INT(B46))-9),3),"000")),0)</f>
        <v>0</v>
      </c>
      <c r="I48" s="60"/>
    </row>
    <row r="49" spans="1:9" ht="12.75">
      <c r="A49" s="61" t="s">
        <v>44</v>
      </c>
      <c r="B49" s="69"/>
      <c r="C49" s="69" t="str">
        <f>ROUND((B46-INT(B46))*100,0)&amp;"/"&amp;100&amp;" groszy"</f>
        <v>0/100 groszy</v>
      </c>
      <c r="D49" s="69" t="str">
        <f>IF(B46=0,"",IF(D48&lt;=20,IF(D48=0,"zero",INDEX(excelblog_Jednosci,D48)),INDEX(excelblog_Dziesiatki,INT(D48/10))&amp;IF(MOD(D48,10)," "&amp;INDEX(excelblog_Jednosci,MOD(D48,10)),"")))&amp;" "&amp;IF(B46=0,"",INDEX(IF(D48&lt;20,{"groszy";"grosz";"grosze";"groszy"},{"groszy";"grosze";"groszy"}),MATCH(IF(D48&lt;20,D48,MOD(D48,10)),IF(D48&lt;20,{0;1;2;5},{0;2;5}),1)))</f>
        <v> </v>
      </c>
      <c r="E49" s="70">
        <f>IF(OR(B46&lt;1,INT(E48/100)=0),"",INDEX(excelblog_Setki,INT(E48/100)))&amp;IF(E48-(INT(E48/100)*100)&lt;=20,IF(E48-(INT(E48/100)*100)=0,IF(OR(E48&gt;0,B46&lt;1),"","złotych")," "&amp;INDEX(excelblog_Jednosci,E48-(INT(E48/100)*100)))," "&amp;INDEX(excelblog_Dziesiatki,INT((E48-(INT(E48/100)*100))/10))&amp;IF(MOD((E48-(INT(E48/100)*100)),10)," "&amp;INDEX(excelblog_Jednosci,MOD((E48-(INT(E48/100)*100)),10)),""))&amp;IF(E48=0,""," "&amp;INDEX(IF(E48&lt;20,{"złotych";"złoty";"złote";"złotych"},{"złotych";"złote";"złotych"}),MATCH(IF(E48-(INT(E48/100)*100)&lt;20,E48-(INT(E48/100)*100),MOD((E48-(INT(E48/100)*100)),10)),IF(E48&lt;20,{0;1;2;5},{0;2;5}),1)))</f>
      </c>
      <c r="F49" s="70">
        <f>IF(OR(B46&lt;1,INT(F48/100)=0),"",INDEX(excelblog_Setki,INT(F48/100)))&amp;IF(F48-(INT(F48/100)*100)&lt;=20,IF(F48-(INT(F48/100)*100)=0,""," "&amp;INDEX(excelblog_Jednosci,F48-(INT(F48/100)*100)))," "&amp;INDEX(excelblog_Dziesiatki,INT((F48-(INT(F48/100)*100))/10))&amp;IF(MOD((F48-(INT(F48/100)*100)),10)," "&amp;INDEX(excelblog_Jednosci,MOD((F48-(INT(F48/100)*100)),10)),""))&amp;IF(F48=0,""," "&amp;INDEX(IF(F48&lt;20,{"";"tysiąc";"tysiące";"tysięcy"},{"tysięcy";"tysiące";"tysięcy"}),MATCH(IF(F48-(INT(F48/100)*100)&lt;20,F48-(INT(F48/100)*100),MOD((F48-(INT(F48/100)*100)),10)),IF(F48&lt;20,{0;1;2;5},{0;2;5}),1)))</f>
      </c>
      <c r="G49" s="70">
        <f>IF(OR(B46&lt;1,INT(G48/100)=0),"",INDEX(excelblog_Setki,INT(G48/100)))&amp;IF(G48-(INT(G48/100)*100)&lt;=20,IF(G48-(INT(G48/100)*100)=0,""," "&amp;INDEX(excelblog_Jednosci,G48-(INT(G48/100)*100)))," "&amp;INDEX(excelblog_Dziesiatki,INT((G48-(INT(G48/100)*100))/10))&amp;IF(MOD((G48-(INT(G48/100)*100)),10)," "&amp;INDEX(excelblog_Jednosci,MOD((G48-(INT(G48/100)*100)),10)),""))&amp;IF(G48=0,""," "&amp;INDEX(IF(G48&lt;20,{"";"milion";"miliony";"milion?w"},{"milion?w";"miliony";"milion?w"}),MATCH(IF(G48-(INT(G48/100)*100)&lt;20,G48-(INT(G48/100)*100),MOD((G48-(INT(G48/100)*100)),10)),IF(G48&lt;20,{0;1;2;5},{0;2;5}),1)))</f>
      </c>
      <c r="H49" s="69">
        <f>IF(OR(B46&lt;1,INT(H48/100)=0),"",INDEX(excelblog_Setki,INT(H48/100)))&amp;IF(H48-(INT(H48/100)*100)&lt;=20,IF(H48-(INT(H48/100)*100)=0,""," "&amp;INDEX(excelblog_Jednosci,H48-(INT(H48/100)*100)))," "&amp;INDEX(excelblog_Dziesiatki,INT((H48-(INT(H48/100)*100))/10))&amp;IF(MOD((H48-(INT(H48/100)*100)),10)," "&amp;INDEX(excelblog_Jednosci,MOD((H48-(INT(H48/100)*100)),10)),""))&amp;IF(H48=0,""," "&amp;INDEX(IF(H48&lt;20,{"";"miliard";"miliardy";"miliard?w"},{"miliard?w";"miliardy";"miliard?w"}),MATCH(IF(H48-(INT(H48/100)*100)&lt;20,H48-(INT(H48/100)*100),MOD((H48-(INT(H48/100)*100)),10)),IF(H48&lt;20,{0;1;2;5},{0;2;5}),1)))</f>
      </c>
      <c r="I49" s="69"/>
    </row>
    <row r="50" spans="1:9" ht="12.75">
      <c r="A50" s="60"/>
      <c r="B50" s="60"/>
      <c r="C50" s="60"/>
      <c r="D50" s="62"/>
      <c r="E50" s="62"/>
      <c r="F50" s="62"/>
      <c r="G50" s="62"/>
      <c r="H50" s="62"/>
      <c r="I50" s="60"/>
    </row>
    <row r="51" spans="1:9" ht="12.75">
      <c r="A51" s="61" t="s">
        <v>45</v>
      </c>
      <c r="B51" s="50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 ","")&amp;IF(TRIM(D49)&lt;&gt;"",D49&amp;" ","")))</f>
      </c>
      <c r="C51" s="51"/>
      <c r="D51" s="51"/>
      <c r="E51" s="51"/>
      <c r="F51" s="51"/>
      <c r="G51" s="51"/>
      <c r="H51" s="51"/>
      <c r="I51" s="52"/>
    </row>
    <row r="52" spans="1:9" ht="12.75">
      <c r="A52" s="61" t="s">
        <v>46</v>
      </c>
      <c r="B52" s="50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","")&amp;IF(TRIM(E49)&lt;&gt;"",TRIM(E49)&amp;", ","")&amp;IF(TRIM(D49)&lt;&gt;"",D49&amp;" ","")))</f>
      </c>
      <c r="C52" s="51"/>
      <c r="D52" s="51"/>
      <c r="E52" s="51"/>
      <c r="F52" s="51"/>
      <c r="G52" s="51"/>
      <c r="H52" s="51"/>
      <c r="I52" s="52"/>
    </row>
    <row r="53" spans="1:9" ht="12.75">
      <c r="A53" s="61" t="s">
        <v>47</v>
      </c>
      <c r="B53" s="50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 ","")&amp;IF(TRIM(D49)&lt;&gt;"",C49&amp;" ","")))</f>
      </c>
      <c r="C53" s="51"/>
      <c r="D53" s="51"/>
      <c r="E53" s="51"/>
      <c r="F53" s="51"/>
      <c r="G53" s="51"/>
      <c r="H53" s="51"/>
      <c r="I53" s="52"/>
    </row>
    <row r="54" spans="1:9" ht="12.75">
      <c r="A54" s="61"/>
      <c r="B54" s="60"/>
      <c r="C54" s="60"/>
      <c r="D54" s="62"/>
      <c r="E54" s="62"/>
      <c r="F54" s="62"/>
      <c r="G54" s="62"/>
      <c r="H54" s="62"/>
      <c r="I54" s="60"/>
    </row>
    <row r="55" spans="1:9" ht="12.75">
      <c r="A55" s="71"/>
      <c r="B55" s="71"/>
      <c r="C55" s="71"/>
      <c r="D55" s="72"/>
      <c r="E55" s="72"/>
      <c r="F55" s="72"/>
      <c r="G55" s="72"/>
      <c r="H55" s="72"/>
      <c r="I55" s="73" t="s">
        <v>48</v>
      </c>
    </row>
    <row r="58" spans="1:9" ht="12.75">
      <c r="A58" s="57"/>
      <c r="B58" s="58"/>
      <c r="C58" s="58"/>
      <c r="D58" s="58"/>
      <c r="E58" s="58"/>
      <c r="F58" s="58"/>
      <c r="G58" s="58"/>
      <c r="H58" s="58"/>
      <c r="I58" s="58"/>
    </row>
    <row r="59" spans="1:9" ht="12.75">
      <c r="A59" s="60"/>
      <c r="B59" s="61" t="s">
        <v>36</v>
      </c>
      <c r="C59" s="60"/>
      <c r="D59" s="62"/>
      <c r="E59" s="62"/>
      <c r="F59" s="62"/>
      <c r="G59" s="62"/>
      <c r="H59" s="62"/>
      <c r="I59" s="60"/>
    </row>
    <row r="60" spans="1:9" ht="12.75">
      <c r="A60" s="61" t="s">
        <v>36</v>
      </c>
      <c r="B60" s="42">
        <f>'STRONA 2'!B21</f>
        <v>0</v>
      </c>
      <c r="C60" s="64"/>
      <c r="D60" s="62"/>
      <c r="E60" s="62"/>
      <c r="F60" s="62"/>
      <c r="G60" s="62"/>
      <c r="H60" s="62"/>
      <c r="I60" s="60"/>
    </row>
    <row r="61" spans="1:9" ht="12.75">
      <c r="A61" s="61"/>
      <c r="B61" s="64"/>
      <c r="C61" s="65" t="s">
        <v>37</v>
      </c>
      <c r="D61" s="66" t="s">
        <v>38</v>
      </c>
      <c r="E61" s="66" t="s">
        <v>39</v>
      </c>
      <c r="F61" s="66" t="s">
        <v>40</v>
      </c>
      <c r="G61" s="66" t="s">
        <v>41</v>
      </c>
      <c r="H61" s="66" t="s">
        <v>42</v>
      </c>
      <c r="I61" s="60"/>
    </row>
    <row r="62" spans="1:9" ht="12.75">
      <c r="A62" s="61" t="s">
        <v>43</v>
      </c>
      <c r="B62" s="60"/>
      <c r="C62" s="67"/>
      <c r="D62" s="68">
        <f>ROUND((B60-INT(B60))*100,0)</f>
        <v>0</v>
      </c>
      <c r="E62" s="68">
        <f>IF(B60&gt;=1,VALUE(RIGHT(LEFT(INT(B60),LEN(INT(B60))),3)),0)</f>
        <v>0</v>
      </c>
      <c r="F62" s="68">
        <f>IF(B60&gt;=1000,VALUE(TEXT(RIGHT(LEFT(INT(B60),LEN(INT(B60))-3),3),"000")),0)</f>
        <v>0</v>
      </c>
      <c r="G62" s="68">
        <f>IF(B60&gt;=1000000,VALUE(TEXT(RIGHT(LEFT(INT(B60),LEN(INT(B60))-6),3),"000")),0)</f>
        <v>0</v>
      </c>
      <c r="H62" s="68">
        <f>IF(B60&gt;=1000000000,VALUE(TEXT(RIGHT(LEFT(INT(B60),LEN(INT(B60))-9),3),"000")),0)</f>
        <v>0</v>
      </c>
      <c r="I62" s="60"/>
    </row>
    <row r="63" spans="1:9" ht="12.75">
      <c r="A63" s="61" t="s">
        <v>44</v>
      </c>
      <c r="B63" s="69"/>
      <c r="C63" s="69" t="str">
        <f>ROUND((B60-INT(B60))*100,0)&amp;"/"&amp;100&amp;" groszy"</f>
        <v>0/100 groszy</v>
      </c>
      <c r="D63" s="69" t="str">
        <f>IF(B60=0,"",IF(D62&lt;=20,IF(D62=0,"zero",INDEX(excelblog_Jednosci,D62)),INDEX(excelblog_Dziesiatki,INT(D62/10))&amp;IF(MOD(D62,10)," "&amp;INDEX(excelblog_Jednosci,MOD(D62,10)),"")))&amp;" "&amp;IF(B60=0,"",INDEX(IF(D62&lt;20,{"groszy";"grosz";"grosze";"groszy"},{"groszy";"grosze";"groszy"}),MATCH(IF(D62&lt;20,D62,MOD(D62,10)),IF(D62&lt;20,{0;1;2;5},{0;2;5}),1)))</f>
        <v> </v>
      </c>
      <c r="E63" s="70">
        <f>IF(OR(B60&lt;1,INT(E62/100)=0),"",INDEX(excelblog_Setki,INT(E62/100)))&amp;IF(E62-(INT(E62/100)*100)&lt;=20,IF(E62-(INT(E62/100)*100)=0,IF(OR(E62&gt;0,B60&lt;1),"","złotych")," "&amp;INDEX(excelblog_Jednosci,E62-(INT(E62/100)*100)))," "&amp;INDEX(excelblog_Dziesiatki,INT((E62-(INT(E62/100)*100))/10))&amp;IF(MOD((E62-(INT(E62/100)*100)),10)," "&amp;INDEX(excelblog_Jednosci,MOD((E62-(INT(E62/100)*100)),10)),""))&amp;IF(E62=0,""," "&amp;INDEX(IF(E62&lt;20,{"złotych";"złoty";"złote";"złotych"},{"złotych";"złote";"złotych"}),MATCH(IF(E62-(INT(E62/100)*100)&lt;20,E62-(INT(E62/100)*100),MOD((E62-(INT(E62/100)*100)),10)),IF(E62&lt;20,{0;1;2;5},{0;2;5}),1)))</f>
      </c>
      <c r="F63" s="70">
        <f>IF(OR(B60&lt;1,INT(F62/100)=0),"",INDEX(excelblog_Setki,INT(F62/100)))&amp;IF(F62-(INT(F62/100)*100)&lt;=20,IF(F62-(INT(F62/100)*100)=0,""," "&amp;INDEX(excelblog_Jednosci,F62-(INT(F62/100)*100)))," "&amp;INDEX(excelblog_Dziesiatki,INT((F62-(INT(F62/100)*100))/10))&amp;IF(MOD((F62-(INT(F62/100)*100)),10)," "&amp;INDEX(excelblog_Jednosci,MOD((F62-(INT(F62/100)*100)),10)),""))&amp;IF(F62=0,""," "&amp;INDEX(IF(F62&lt;20,{"";"tysiąc";"tysiące";"tysięcy"},{"tysięcy";"tysiące";"tysięcy"}),MATCH(IF(F62-(INT(F62/100)*100)&lt;20,F62-(INT(F62/100)*100),MOD((F62-(INT(F62/100)*100)),10)),IF(F62&lt;20,{0;1;2;5},{0;2;5}),1)))</f>
      </c>
      <c r="G63" s="70">
        <f>IF(OR(B60&lt;1,INT(G62/100)=0),"",INDEX(excelblog_Setki,INT(G62/100)))&amp;IF(G62-(INT(G62/100)*100)&lt;=20,IF(G62-(INT(G62/100)*100)=0,""," "&amp;INDEX(excelblog_Jednosci,G62-(INT(G62/100)*100)))," "&amp;INDEX(excelblog_Dziesiatki,INT((G62-(INT(G62/100)*100))/10))&amp;IF(MOD((G62-(INT(G62/100)*100)),10)," "&amp;INDEX(excelblog_Jednosci,MOD((G62-(INT(G62/100)*100)),10)),""))&amp;IF(G62=0,""," "&amp;INDEX(IF(G62&lt;20,{"";"milion";"miliony";"milion?w"},{"milion?w";"miliony";"milion?w"}),MATCH(IF(G62-(INT(G62/100)*100)&lt;20,G62-(INT(G62/100)*100),MOD((G62-(INT(G62/100)*100)),10)),IF(G62&lt;20,{0;1;2;5},{0;2;5}),1)))</f>
      </c>
      <c r="H63" s="69">
        <f>IF(OR(B60&lt;1,INT(H62/100)=0),"",INDEX(excelblog_Setki,INT(H62/100)))&amp;IF(H62-(INT(H62/100)*100)&lt;=20,IF(H62-(INT(H62/100)*100)=0,""," "&amp;INDEX(excelblog_Jednosci,H62-(INT(H62/100)*100)))," "&amp;INDEX(excelblog_Dziesiatki,INT((H62-(INT(H62/100)*100))/10))&amp;IF(MOD((H62-(INT(H62/100)*100)),10)," "&amp;INDEX(excelblog_Jednosci,MOD((H62-(INT(H62/100)*100)),10)),""))&amp;IF(H62=0,""," "&amp;INDEX(IF(H62&lt;20,{"";"miliard";"miliardy";"miliard?w"},{"miliard?w";"miliardy";"miliard?w"}),MATCH(IF(H62-(INT(H62/100)*100)&lt;20,H62-(INT(H62/100)*100),MOD((H62-(INT(H62/100)*100)),10)),IF(H62&lt;20,{0;1;2;5},{0;2;5}),1)))</f>
      </c>
      <c r="I63" s="69"/>
    </row>
    <row r="64" spans="1:9" ht="12.75">
      <c r="A64" s="60"/>
      <c r="B64" s="60"/>
      <c r="C64" s="60"/>
      <c r="D64" s="62"/>
      <c r="E64" s="62"/>
      <c r="F64" s="62"/>
      <c r="G64" s="62"/>
      <c r="H64" s="62"/>
      <c r="I64" s="60"/>
    </row>
    <row r="65" spans="1:9" ht="12.75">
      <c r="A65" s="61" t="s">
        <v>45</v>
      </c>
      <c r="B65" s="50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 ","")&amp;IF(TRIM(D63)&lt;&gt;"",D63&amp;" ","")))</f>
      </c>
      <c r="C65" s="51"/>
      <c r="D65" s="51"/>
      <c r="E65" s="51"/>
      <c r="F65" s="51"/>
      <c r="G65" s="51"/>
      <c r="H65" s="51"/>
      <c r="I65" s="52"/>
    </row>
    <row r="66" spans="1:9" ht="12.75">
      <c r="A66" s="61" t="s">
        <v>46</v>
      </c>
      <c r="B66" s="50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","")&amp;IF(TRIM(E63)&lt;&gt;"",TRIM(E63)&amp;", ","")&amp;IF(TRIM(D63)&lt;&gt;"",D63&amp;" ","")))</f>
      </c>
      <c r="C66" s="51"/>
      <c r="D66" s="51"/>
      <c r="E66" s="51"/>
      <c r="F66" s="51"/>
      <c r="G66" s="51"/>
      <c r="H66" s="51"/>
      <c r="I66" s="52"/>
    </row>
    <row r="67" spans="1:9" ht="12.75">
      <c r="A67" s="61" t="s">
        <v>47</v>
      </c>
      <c r="B67" s="50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 ","")&amp;IF(TRIM(D63)&lt;&gt;"",C63&amp;" ","")))</f>
      </c>
      <c r="C67" s="51"/>
      <c r="D67" s="51"/>
      <c r="E67" s="51"/>
      <c r="F67" s="51"/>
      <c r="G67" s="51"/>
      <c r="H67" s="51"/>
      <c r="I67" s="52"/>
    </row>
    <row r="68" spans="1:9" ht="12.75">
      <c r="A68" s="61"/>
      <c r="B68" s="60"/>
      <c r="C68" s="60"/>
      <c r="D68" s="62"/>
      <c r="E68" s="62"/>
      <c r="F68" s="62"/>
      <c r="G68" s="62"/>
      <c r="H68" s="62"/>
      <c r="I68" s="60"/>
    </row>
    <row r="69" spans="1:9" ht="12.75">
      <c r="A69" s="71"/>
      <c r="B69" s="71"/>
      <c r="C69" s="71"/>
      <c r="D69" s="72"/>
      <c r="E69" s="72"/>
      <c r="F69" s="72"/>
      <c r="G69" s="72"/>
      <c r="H69" s="72"/>
      <c r="I69" s="73" t="s">
        <v>48</v>
      </c>
    </row>
    <row r="72" spans="1:9" ht="12.75">
      <c r="A72" s="57"/>
      <c r="B72" s="58"/>
      <c r="C72" s="58"/>
      <c r="D72" s="58"/>
      <c r="E72" s="58"/>
      <c r="F72" s="58"/>
      <c r="G72" s="58"/>
      <c r="H72" s="58"/>
      <c r="I72" s="58"/>
    </row>
    <row r="73" spans="1:9" ht="12.75">
      <c r="A73" s="60"/>
      <c r="B73" s="61" t="s">
        <v>36</v>
      </c>
      <c r="C73" s="60"/>
      <c r="D73" s="62"/>
      <c r="E73" s="62"/>
      <c r="F73" s="62"/>
      <c r="G73" s="62"/>
      <c r="H73" s="62"/>
      <c r="I73" s="60"/>
    </row>
    <row r="74" spans="1:9" ht="12.75">
      <c r="A74" s="61" t="s">
        <v>36</v>
      </c>
      <c r="B74" s="42">
        <f>'STRONA 2'!B37</f>
        <v>0</v>
      </c>
      <c r="C74" s="64"/>
      <c r="D74" s="62"/>
      <c r="E74" s="62"/>
      <c r="F74" s="62"/>
      <c r="G74" s="62"/>
      <c r="H74" s="62"/>
      <c r="I74" s="60"/>
    </row>
    <row r="75" spans="1:9" ht="12.75">
      <c r="A75" s="61"/>
      <c r="B75" s="64"/>
      <c r="C75" s="65" t="s">
        <v>37</v>
      </c>
      <c r="D75" s="66" t="s">
        <v>38</v>
      </c>
      <c r="E75" s="66" t="s">
        <v>39</v>
      </c>
      <c r="F75" s="66" t="s">
        <v>40</v>
      </c>
      <c r="G75" s="66" t="s">
        <v>41</v>
      </c>
      <c r="H75" s="66" t="s">
        <v>42</v>
      </c>
      <c r="I75" s="60"/>
    </row>
    <row r="76" spans="1:9" ht="12.75">
      <c r="A76" s="61" t="s">
        <v>43</v>
      </c>
      <c r="B76" s="60"/>
      <c r="C76" s="67"/>
      <c r="D76" s="68">
        <f>ROUND((B74-INT(B74))*100,0)</f>
        <v>0</v>
      </c>
      <c r="E76" s="68">
        <f>IF(B74&gt;=1,VALUE(RIGHT(LEFT(INT(B74),LEN(INT(B74))),3)),0)</f>
        <v>0</v>
      </c>
      <c r="F76" s="68">
        <f>IF(B74&gt;=1000,VALUE(TEXT(RIGHT(LEFT(INT(B74),LEN(INT(B74))-3),3),"000")),0)</f>
        <v>0</v>
      </c>
      <c r="G76" s="68">
        <f>IF(B74&gt;=1000000,VALUE(TEXT(RIGHT(LEFT(INT(B74),LEN(INT(B74))-6),3),"000")),0)</f>
        <v>0</v>
      </c>
      <c r="H76" s="68">
        <f>IF(B74&gt;=1000000000,VALUE(TEXT(RIGHT(LEFT(INT(B74),LEN(INT(B74))-9),3),"000")),0)</f>
        <v>0</v>
      </c>
      <c r="I76" s="60"/>
    </row>
    <row r="77" spans="1:9" ht="12.75">
      <c r="A77" s="61" t="s">
        <v>44</v>
      </c>
      <c r="B77" s="69"/>
      <c r="C77" s="69" t="str">
        <f>ROUND((B74-INT(B74))*100,0)&amp;"/"&amp;100&amp;" groszy"</f>
        <v>0/100 groszy</v>
      </c>
      <c r="D77" s="69" t="str">
        <f>IF(B74=0,"",IF(D76&lt;=20,IF(D76=0,"zero",INDEX(excelblog_Jednosci,D76)),INDEX(excelblog_Dziesiatki,INT(D76/10))&amp;IF(MOD(D76,10)," "&amp;INDEX(excelblog_Jednosci,MOD(D76,10)),"")))&amp;" "&amp;IF(B74=0,"",INDEX(IF(D76&lt;20,{"groszy";"grosz";"grosze";"groszy"},{"groszy";"grosze";"groszy"}),MATCH(IF(D76&lt;20,D76,MOD(D76,10)),IF(D76&lt;20,{0;1;2;5},{0;2;5}),1)))</f>
        <v> </v>
      </c>
      <c r="E77" s="70">
        <f>IF(OR(B74&lt;1,INT(E76/100)=0),"",INDEX(excelblog_Setki,INT(E76/100)))&amp;IF(E76-(INT(E76/100)*100)&lt;=20,IF(E76-(INT(E76/100)*100)=0,IF(OR(E76&gt;0,B74&lt;1),"","złotych")," "&amp;INDEX(excelblog_Jednosci,E76-(INT(E76/100)*100)))," "&amp;INDEX(excelblog_Dziesiatki,INT((E76-(INT(E76/100)*100))/10))&amp;IF(MOD((E76-(INT(E76/100)*100)),10)," "&amp;INDEX(excelblog_Jednosci,MOD((E76-(INT(E76/100)*100)),10)),""))&amp;IF(E76=0,""," "&amp;INDEX(IF(E76&lt;20,{"złotych";"złoty";"złote";"złotych"},{"złotych";"złote";"złotych"}),MATCH(IF(E76-(INT(E76/100)*100)&lt;20,E76-(INT(E76/100)*100),MOD((E76-(INT(E76/100)*100)),10)),IF(E76&lt;20,{0;1;2;5},{0;2;5}),1)))</f>
      </c>
      <c r="F77" s="70">
        <f>IF(OR(B74&lt;1,INT(F76/100)=0),"",INDEX(excelblog_Setki,INT(F76/100)))&amp;IF(F76-(INT(F76/100)*100)&lt;=20,IF(F76-(INT(F76/100)*100)=0,""," "&amp;INDEX(excelblog_Jednosci,F76-(INT(F76/100)*100)))," "&amp;INDEX(excelblog_Dziesiatki,INT((F76-(INT(F76/100)*100))/10))&amp;IF(MOD((F76-(INT(F76/100)*100)),10)," "&amp;INDEX(excelblog_Jednosci,MOD((F76-(INT(F76/100)*100)),10)),""))&amp;IF(F76=0,""," "&amp;INDEX(IF(F76&lt;20,{"";"tysiąc";"tysiące";"tysięcy"},{"tysięcy";"tysiące";"tysięcy"}),MATCH(IF(F76-(INT(F76/100)*100)&lt;20,F76-(INT(F76/100)*100),MOD((F76-(INT(F76/100)*100)),10)),IF(F76&lt;20,{0;1;2;5},{0;2;5}),1)))</f>
      </c>
      <c r="G77" s="70">
        <f>IF(OR(B74&lt;1,INT(G76/100)=0),"",INDEX(excelblog_Setki,INT(G76/100)))&amp;IF(G76-(INT(G76/100)*100)&lt;=20,IF(G76-(INT(G76/100)*100)=0,""," "&amp;INDEX(excelblog_Jednosci,G76-(INT(G76/100)*100)))," "&amp;INDEX(excelblog_Dziesiatki,INT((G76-(INT(G76/100)*100))/10))&amp;IF(MOD((G76-(INT(G76/100)*100)),10)," "&amp;INDEX(excelblog_Jednosci,MOD((G76-(INT(G76/100)*100)),10)),""))&amp;IF(G76=0,""," "&amp;INDEX(IF(G76&lt;20,{"";"milion";"miliony";"milion?w"},{"milion?w";"miliony";"milion?w"}),MATCH(IF(G76-(INT(G76/100)*100)&lt;20,G76-(INT(G76/100)*100),MOD((G76-(INT(G76/100)*100)),10)),IF(G76&lt;20,{0;1;2;5},{0;2;5}),1)))</f>
      </c>
      <c r="H77" s="69">
        <f>IF(OR(B74&lt;1,INT(H76/100)=0),"",INDEX(excelblog_Setki,INT(H76/100)))&amp;IF(H76-(INT(H76/100)*100)&lt;=20,IF(H76-(INT(H76/100)*100)=0,""," "&amp;INDEX(excelblog_Jednosci,H76-(INT(H76/100)*100)))," "&amp;INDEX(excelblog_Dziesiatki,INT((H76-(INT(H76/100)*100))/10))&amp;IF(MOD((H76-(INT(H76/100)*100)),10)," "&amp;INDEX(excelblog_Jednosci,MOD((H76-(INT(H76/100)*100)),10)),""))&amp;IF(H76=0,""," "&amp;INDEX(IF(H76&lt;20,{"";"miliard";"miliardy";"miliard?w"},{"miliard?w";"miliardy";"miliard?w"}),MATCH(IF(H76-(INT(H76/100)*100)&lt;20,H76-(INT(H76/100)*100),MOD((H76-(INT(H76/100)*100)),10)),IF(H76&lt;20,{0;1;2;5},{0;2;5}),1)))</f>
      </c>
      <c r="I77" s="69"/>
    </row>
    <row r="78" spans="1:9" ht="12.75">
      <c r="A78" s="60"/>
      <c r="B78" s="60"/>
      <c r="C78" s="60"/>
      <c r="D78" s="62"/>
      <c r="E78" s="62"/>
      <c r="F78" s="62"/>
      <c r="G78" s="62"/>
      <c r="H78" s="62"/>
      <c r="I78" s="60"/>
    </row>
    <row r="79" spans="1:9" ht="12.75">
      <c r="A79" s="61" t="s">
        <v>45</v>
      </c>
      <c r="B79" s="50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 ","")&amp;IF(TRIM(D77)&lt;&gt;"",D77&amp;" ","")))</f>
      </c>
      <c r="C79" s="51"/>
      <c r="D79" s="51"/>
      <c r="E79" s="51"/>
      <c r="F79" s="51"/>
      <c r="G79" s="51"/>
      <c r="H79" s="51"/>
      <c r="I79" s="52"/>
    </row>
    <row r="80" spans="1:9" ht="12.75">
      <c r="A80" s="61" t="s">
        <v>46</v>
      </c>
      <c r="B80" s="50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","")&amp;IF(TRIM(E77)&lt;&gt;"",TRIM(E77)&amp;", ","")&amp;IF(TRIM(D77)&lt;&gt;"",D77&amp;" ","")))</f>
      </c>
      <c r="C80" s="51"/>
      <c r="D80" s="51"/>
      <c r="E80" s="51"/>
      <c r="F80" s="51"/>
      <c r="G80" s="51"/>
      <c r="H80" s="51"/>
      <c r="I80" s="52"/>
    </row>
    <row r="81" spans="1:9" ht="12.75">
      <c r="A81" s="61" t="s">
        <v>47</v>
      </c>
      <c r="B81" s="50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 ","")&amp;IF(TRIM(D77)&lt;&gt;"",C77&amp;" ","")))</f>
      </c>
      <c r="C81" s="51"/>
      <c r="D81" s="51"/>
      <c r="E81" s="51"/>
      <c r="F81" s="51"/>
      <c r="G81" s="51"/>
      <c r="H81" s="51"/>
      <c r="I81" s="52"/>
    </row>
    <row r="82" spans="1:9" ht="12.75">
      <c r="A82" s="61"/>
      <c r="B82" s="60"/>
      <c r="C82" s="60"/>
      <c r="D82" s="62"/>
      <c r="E82" s="62"/>
      <c r="F82" s="62"/>
      <c r="G82" s="62"/>
      <c r="H82" s="62"/>
      <c r="I82" s="60"/>
    </row>
    <row r="83" spans="1:9" ht="12.75">
      <c r="A83" s="71"/>
      <c r="B83" s="71"/>
      <c r="C83" s="71"/>
      <c r="D83" s="72"/>
      <c r="E83" s="72"/>
      <c r="F83" s="72"/>
      <c r="G83" s="72"/>
      <c r="H83" s="72"/>
      <c r="I83" s="73" t="s">
        <v>48</v>
      </c>
    </row>
  </sheetData>
  <sheetProtection password="9E62" sheet="1" objects="1" scenarios="1" deleteRows="0"/>
  <hyperlinks>
    <hyperlink ref="I12" r:id="rId1" display="Dostępne na licencji Creative Commons Uznanie autorstwa 2.5 Polska"/>
    <hyperlink ref="I26" r:id="rId2" display="Dostępne na licencji Creative Commons Uznanie autorstwa 2.5 Polska"/>
    <hyperlink ref="I40" r:id="rId3" display="Dostępne na licencji Creative Commons Uznanie autorstwa 2.5 Polska"/>
    <hyperlink ref="I55" r:id="rId4" display="Dostępne na licencji Creative Commons Uznanie autorstwa 2.5 Polska"/>
    <hyperlink ref="I69" r:id="rId5" display="Dostępne na licencji Creative Commons Uznanie autorstwa 2.5 Polska"/>
    <hyperlink ref="I83" r:id="rId6" display="Dostępne na licencji Creative Commons Uznanie autorstwa 2.5 Polska"/>
  </hyperlinks>
  <printOptions/>
  <pageMargins left="0.75" right="0.75" top="1" bottom="1" header="0.5" footer="0.5"/>
  <pageSetup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Verum</dc:creator>
  <cp:keywords/>
  <dc:description/>
  <cp:lastModifiedBy>iwona</cp:lastModifiedBy>
  <cp:lastPrinted>2012-04-02T12:57:49Z</cp:lastPrinted>
  <dcterms:created xsi:type="dcterms:W3CDTF">2009-01-13T09:04:12Z</dcterms:created>
  <dcterms:modified xsi:type="dcterms:W3CDTF">2013-04-03T12:59:08Z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